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913af36b7d7c46a9/_Main/Courses/Unit Operations/mfd I 2020/4_HeatPumps/"/>
    </mc:Choice>
  </mc:AlternateContent>
  <xr:revisionPtr revIDLastSave="124" documentId="11_3B788A7A9B985406A1AE9A56DA94FBA4749CECE4" xr6:coauthVersionLast="45" xr6:coauthVersionMax="45" xr10:uidLastSave="{9C8BD282-D1AB-476F-AB0C-A96415D90A22}"/>
  <bookViews>
    <workbookView xWindow="-98" yWindow="-98" windowWidth="24496" windowHeight="15796" activeTab="2" xr2:uid="{00000000-000D-0000-FFFF-FFFF00000000}"/>
  </bookViews>
  <sheets>
    <sheet name="Antoine" sheetId="2" r:id="rId1"/>
    <sheet name="db" sheetId="4" r:id="rId2"/>
    <sheet name="m" sheetId="1" r:id="rId3"/>
  </sheets>
  <externalReferences>
    <externalReference r:id="rId4"/>
  </externalReferences>
  <definedNames>
    <definedName name="a">[1]gr!$C$29</definedName>
    <definedName name="a1.">db!$I$4:$I$8</definedName>
    <definedName name="a2.">db!$J$4:$J$8</definedName>
    <definedName name="a3.">db!$K$4:$K$8</definedName>
    <definedName name="Ac">m!$F$24</definedName>
    <definedName name="Ac.">[1]model!$C$37</definedName>
    <definedName name="Ae">m!$F$23</definedName>
    <definedName name="Ae.">[1]model!$C$34</definedName>
    <definedName name="b">[1]gr!$C$30</definedName>
    <definedName name="c_">[1]gr!$C$31</definedName>
    <definedName name="Ccmp.">[1]model!$C$22</definedName>
    <definedName name="Ce">m!$C$26</definedName>
    <definedName name="Ce.">[1]model!$C$25</definedName>
    <definedName name="Ceq">m!$F$27</definedName>
    <definedName name="Ceq.">m!$F$31</definedName>
    <definedName name="Ceq1com">m!$C$27</definedName>
    <definedName name="Ceq1exc">m!$C$29</definedName>
    <definedName name="Cexc.">[1]model!$C$20</definedName>
    <definedName name="Cop" localSheetId="0">[1]model!$C$50</definedName>
    <definedName name="Cop" localSheetId="1">[1]model!$C$50</definedName>
    <definedName name="COP">m!$C$21</definedName>
    <definedName name="COPc">m!$C$19</definedName>
    <definedName name="Coper">m!$F$26</definedName>
    <definedName name="Coper.">m!$F$30</definedName>
    <definedName name="Cp">[1]model!$C$13</definedName>
    <definedName name="Cpr" localSheetId="0">[1]model!$C$15</definedName>
    <definedName name="Cpr" localSheetId="1">[1]model!$C$15</definedName>
    <definedName name="Cpr">m!$C$12</definedName>
    <definedName name="Cpr.">db!$F$4:$F$8</definedName>
    <definedName name="Cpw">[1]model!$C$14</definedName>
    <definedName name="Cq">[1]model!$C$53</definedName>
    <definedName name="crf">[1]model!$C$40</definedName>
    <definedName name="CTL">m!$F$28</definedName>
    <definedName name="CTL.">m!$F$32</definedName>
    <definedName name="Cw.">[1]model!$C$24</definedName>
    <definedName name="dHr" localSheetId="0">[1]model!$C$16</definedName>
    <definedName name="dHr" localSheetId="1">[1]model!$C$16</definedName>
    <definedName name="dHr">m!$C$11</definedName>
    <definedName name="dHr.">db!$E$4:$E$8</definedName>
    <definedName name="dTmin">m!$C$6</definedName>
    <definedName name="e">m!$C$32</definedName>
    <definedName name="Er.">[1]model!$C$38</definedName>
    <definedName name="F.">[1]model!$C$3</definedName>
    <definedName name="Fr">m!$C$13</definedName>
    <definedName name="Fr.">[1]model!$C$33</definedName>
    <definedName name="Fw.">[1]model!$C$36</definedName>
    <definedName name="h.">db!$G$12:$G$16</definedName>
    <definedName name="I">[1]model!$C$26</definedName>
    <definedName name="IP">m!$C$20</definedName>
    <definedName name="jLoad">m!$F$8</definedName>
    <definedName name="jRefr">m!$F$7</definedName>
    <definedName name="Load.">db!$D$12:$D$16</definedName>
    <definedName name="m.">[1]model!$C$23</definedName>
    <definedName name="N">[1]model!$C$27</definedName>
    <definedName name="n.">[1]model!$C$21</definedName>
    <definedName name="ncom">m!$C$28</definedName>
    <definedName name="nexc">m!$C$30</definedName>
    <definedName name="Qc">m!$C$17</definedName>
    <definedName name="Qc.">[1]model!$C$35</definedName>
    <definedName name="Qe">m!$C$16</definedName>
    <definedName name="Qe.">[1]model!$C$32</definedName>
    <definedName name="R.">db!$C$4:$C$8</definedName>
    <definedName name="Refrigerant.">db!$D$4:$D$8</definedName>
    <definedName name="t">[1]model!$C$28</definedName>
    <definedName name="T1.">[1]model!$C$4</definedName>
    <definedName name="T2.">[1]model!$C$5</definedName>
    <definedName name="Tc">m!$C$7</definedName>
    <definedName name="Tc.">db!$H$4:$H$8</definedName>
    <definedName name="Tc_">m!$D$7</definedName>
    <definedName name="Te">m!$C$8</definedName>
    <definedName name="Te.">[1]model!$C$11</definedName>
    <definedName name="TH">m!$C$3</definedName>
    <definedName name="TH.">db!$E$12:$E$16</definedName>
    <definedName name="TL">m!$C$4</definedName>
    <definedName name="TL.">db!$F$12:$F$16</definedName>
    <definedName name="Tt.">db!$G$4:$G$8</definedName>
    <definedName name="Tt_">m!$D$8</definedName>
    <definedName name="Tw1.">[1]model!$C$6</definedName>
    <definedName name="Tw2.">[1]model!$C$9</definedName>
    <definedName name="ty">m!$C$33</definedName>
    <definedName name="ty.">db!$H$12:$H$16</definedName>
    <definedName name="Uc">m!$C$24</definedName>
    <definedName name="Uc.">[1]model!$C$18</definedName>
    <definedName name="Ue">m!$C$23</definedName>
    <definedName name="Ue.">[1]model!$C$17</definedName>
    <definedName name="Wr">m!$C$15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3" i="1" l="1"/>
  <c r="C3" i="1"/>
  <c r="C7" i="1" s="1"/>
  <c r="M7" i="2"/>
  <c r="M12" i="2" s="1"/>
  <c r="D8" i="1" l="1"/>
  <c r="D7" i="1"/>
  <c r="M7" i="1" l="1"/>
  <c r="M6" i="1"/>
  <c r="M4" i="1"/>
  <c r="M5" i="1"/>
  <c r="F26" i="1"/>
  <c r="I13" i="4"/>
  <c r="I12" i="4"/>
  <c r="I14" i="4"/>
  <c r="I15" i="4"/>
  <c r="I16" i="4"/>
  <c r="C4" i="1"/>
  <c r="B10" i="1"/>
  <c r="L4" i="4"/>
  <c r="L8" i="4"/>
  <c r="L6" i="4"/>
  <c r="L5" i="4"/>
  <c r="L7" i="4"/>
  <c r="C10" i="1"/>
  <c r="C12" i="1"/>
  <c r="C11" i="1"/>
  <c r="C8" i="1" l="1"/>
  <c r="C20" i="1" l="1"/>
  <c r="C19" i="1"/>
  <c r="C13" i="1"/>
  <c r="C16" i="1" s="1"/>
  <c r="F30" i="1" s="1" a="1"/>
  <c r="F30" i="1" s="1"/>
  <c r="F23" i="1" l="1"/>
  <c r="C21" i="1"/>
  <c r="N7" i="2"/>
  <c r="O7" i="2"/>
  <c r="O12" i="2" s="1"/>
  <c r="P7" i="2"/>
  <c r="P12" i="2" s="1"/>
  <c r="Q7" i="2"/>
  <c r="R7" i="2"/>
  <c r="R12" i="2" s="1"/>
  <c r="M8" i="2"/>
  <c r="M13" i="2" s="1"/>
  <c r="N8" i="2"/>
  <c r="N13" i="2" s="1"/>
  <c r="O8" i="2"/>
  <c r="O13" i="2" s="1"/>
  <c r="P8" i="2"/>
  <c r="Q8" i="2"/>
  <c r="Q13" i="2" s="1"/>
  <c r="R8" i="2"/>
  <c r="R13" i="2" s="1"/>
  <c r="M9" i="2"/>
  <c r="M14" i="2" s="1"/>
  <c r="N9" i="2"/>
  <c r="N14" i="2" s="1"/>
  <c r="O9" i="2"/>
  <c r="O14" i="2" s="1"/>
  <c r="P9" i="2"/>
  <c r="P14" i="2" s="1"/>
  <c r="Q9" i="2"/>
  <c r="R9" i="2"/>
  <c r="M10" i="2"/>
  <c r="M15" i="2" s="1"/>
  <c r="N10" i="2"/>
  <c r="N15" i="2" s="1"/>
  <c r="O10" i="2"/>
  <c r="O15" i="2" s="1"/>
  <c r="P10" i="2"/>
  <c r="P15" i="2" s="1"/>
  <c r="Q10" i="2"/>
  <c r="Q15" i="2" s="1"/>
  <c r="R10" i="2"/>
  <c r="R15" i="2" s="1"/>
  <c r="M11" i="2"/>
  <c r="M16" i="2" s="1"/>
  <c r="N11" i="2"/>
  <c r="O11" i="2"/>
  <c r="O16" i="2" s="1"/>
  <c r="P11" i="2"/>
  <c r="P16" i="2" s="1"/>
  <c r="Q11" i="2"/>
  <c r="Q16" i="2" s="1"/>
  <c r="R11" i="2"/>
  <c r="R16" i="2" s="1"/>
  <c r="N12" i="2"/>
  <c r="Q12" i="2"/>
  <c r="P13" i="2"/>
  <c r="Q14" i="2"/>
  <c r="R14" i="2"/>
  <c r="N16" i="2"/>
  <c r="K5" i="1" l="1"/>
  <c r="K7" i="1"/>
  <c r="K6" i="1"/>
  <c r="K4" i="1"/>
  <c r="L7" i="1" l="1"/>
  <c r="L6" i="1"/>
  <c r="L5" i="1"/>
  <c r="L4" i="1"/>
  <c r="J5" i="1"/>
  <c r="J6" i="1" l="1"/>
  <c r="C17" i="1"/>
  <c r="F24" i="1" l="1"/>
  <c r="F27" i="1" s="1"/>
  <c r="F31" i="1" s="1" a="1"/>
  <c r="F31" i="1" s="1"/>
  <c r="F32" i="1" s="1"/>
  <c r="J7" i="1"/>
  <c r="F2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<sst xmlns="http://schemas.openxmlformats.org/spreadsheetml/2006/main" count="115" uniqueCount="94">
  <si>
    <t>Tc</t>
  </si>
  <si>
    <t>Te</t>
  </si>
  <si>
    <t>dHr</t>
  </si>
  <si>
    <t>Cpr</t>
  </si>
  <si>
    <t>Fr</t>
  </si>
  <si>
    <t>Qe</t>
  </si>
  <si>
    <t>Qc</t>
  </si>
  <si>
    <t>Wr</t>
  </si>
  <si>
    <t>MJ/kg</t>
  </si>
  <si>
    <t>kJ/kg</t>
  </si>
  <si>
    <t>kg/s</t>
  </si>
  <si>
    <t>kW</t>
  </si>
  <si>
    <t>R-113</t>
  </si>
  <si>
    <t>R-717</t>
  </si>
  <si>
    <t>COP</t>
  </si>
  <si>
    <t>Process</t>
  </si>
  <si>
    <t>Heat Pump</t>
  </si>
  <si>
    <t>Trichlorotrifluoroethane</t>
  </si>
  <si>
    <t>Butane</t>
  </si>
  <si>
    <t>R-600</t>
  </si>
  <si>
    <t>Ammonia</t>
  </si>
  <si>
    <t>Ethane</t>
  </si>
  <si>
    <t>R-170</t>
  </si>
  <si>
    <t>Carbontetrafluoride</t>
  </si>
  <si>
    <t>R-14</t>
  </si>
  <si>
    <t>a3</t>
  </si>
  <si>
    <t>a2</t>
  </si>
  <si>
    <t>a1</t>
  </si>
  <si>
    <r>
      <t>o</t>
    </r>
    <r>
      <rPr>
        <sz val="8"/>
        <rFont val="Segoe Print"/>
        <charset val="161"/>
      </rPr>
      <t>C</t>
    </r>
  </si>
  <si>
    <t>kJ/kgK</t>
  </si>
  <si>
    <t>Σταθερές Antoine</t>
  </si>
  <si>
    <t>Σημείο</t>
  </si>
  <si>
    <t>Θερμότητα</t>
  </si>
  <si>
    <t>Εξάτμισης</t>
  </si>
  <si>
    <t>Σύσταση</t>
  </si>
  <si>
    <t>Ψυκτικό</t>
  </si>
  <si>
    <t>Κρίσιμο</t>
  </si>
  <si>
    <t>Τριπλό</t>
  </si>
  <si>
    <t>Ειδική</t>
  </si>
  <si>
    <t>Summer</t>
  </si>
  <si>
    <t>Winter</t>
  </si>
  <si>
    <t>dTmin</t>
  </si>
  <si>
    <t>TH</t>
  </si>
  <si>
    <t>TL</t>
  </si>
  <si>
    <t>a1.</t>
  </si>
  <si>
    <t>a2.</t>
  </si>
  <si>
    <t>a3.</t>
  </si>
  <si>
    <t>R.</t>
  </si>
  <si>
    <t>dHr.</t>
  </si>
  <si>
    <t>Cpr.</t>
  </si>
  <si>
    <t>Tt.</t>
  </si>
  <si>
    <t>Tc.</t>
  </si>
  <si>
    <t>Refrigerant.</t>
  </si>
  <si>
    <t>IP</t>
  </si>
  <si>
    <t>COPc</t>
  </si>
  <si>
    <t>TH.</t>
  </si>
  <si>
    <t>TL.</t>
  </si>
  <si>
    <t>Freezer</t>
  </si>
  <si>
    <t>Cooler</t>
  </si>
  <si>
    <t>WinterLiquid</t>
  </si>
  <si>
    <t>Load.</t>
  </si>
  <si>
    <t>jRefr</t>
  </si>
  <si>
    <t>jLoad</t>
  </si>
  <si>
    <t>dT</t>
  </si>
  <si>
    <t>Ue</t>
  </si>
  <si>
    <t>Uc</t>
  </si>
  <si>
    <t>Ae</t>
  </si>
  <si>
    <t>Ac</t>
  </si>
  <si>
    <t>Ceq</t>
  </si>
  <si>
    <t>CTL</t>
  </si>
  <si>
    <t>Ce</t>
  </si>
  <si>
    <t>Ceq1com</t>
  </si>
  <si>
    <t>ncom</t>
  </si>
  <si>
    <t>Ceq1exc</t>
  </si>
  <si>
    <t>nexc</t>
  </si>
  <si>
    <t>e</t>
  </si>
  <si>
    <t>ty</t>
  </si>
  <si>
    <t>k€</t>
  </si>
  <si>
    <t>Coper</t>
  </si>
  <si>
    <t>Limits</t>
  </si>
  <si>
    <t>Load</t>
  </si>
  <si>
    <t>m2</t>
  </si>
  <si>
    <t>kW/m2K</t>
  </si>
  <si>
    <t>€/MWh</t>
  </si>
  <si>
    <t>k€/kW</t>
  </si>
  <si>
    <t>-</t>
  </si>
  <si>
    <t>k€/m2</t>
  </si>
  <si>
    <t>h/y</t>
  </si>
  <si>
    <t>C</t>
  </si>
  <si>
    <t>h.</t>
  </si>
  <si>
    <t>ty.</t>
  </si>
  <si>
    <t>Coper.</t>
  </si>
  <si>
    <t>Ceq.</t>
  </si>
  <si>
    <t>CTL.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</si>
</sst>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8"/>
      <color theme="1"/>
      <name val="Calibri"/>
      <family val="2"/>
      <scheme val="minor"/>
    </font>
    <font>
      <sz val="8"/>
      <name val="Times New Roman"/>
      <family val="1"/>
    </font>
    <font>
      <sz val="8"/>
      <name val="Calibri"/>
      <family val="2"/>
      <scheme val="minor"/>
    </font>
    <font>
      <sz val="8"/>
      <name val="Segoe Print"/>
      <charset val="161"/>
    </font>
    <font>
      <vertAlign val="superscript"/>
      <sz val="8"/>
      <name val="Segoe Print"/>
      <charset val="161"/>
    </font>
    <font>
      <sz val="1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0">
    <xf numFmtId="0" fontId="0" fillId="0" borderId="0" xfId="0"/>
    <xf numFmtId="0" fontId="2" fillId="0" borderId="0" xfId="1" applyFont="1"/>
    <xf numFmtId="0" fontId="2" fillId="0" borderId="0" xfId="1" applyFont="1" applyAlignment="1">
      <alignment horizontal="left"/>
    </xf>
    <xf numFmtId="0" fontId="2" fillId="0" borderId="0" xfId="1" applyFont="1" applyBorder="1"/>
    <xf numFmtId="0" fontId="2" fillId="0" borderId="0" xfId="1" applyFont="1" applyBorder="1" applyAlignment="1">
      <alignment horizontal="left"/>
    </xf>
    <xf numFmtId="0" fontId="0" fillId="0" borderId="2" xfId="0" applyFont="1" applyBorder="1" applyAlignment="1">
      <alignment horizontal="right"/>
    </xf>
    <xf numFmtId="0" fontId="0" fillId="0" borderId="0" xfId="0" applyFont="1"/>
    <xf numFmtId="164" fontId="0" fillId="0" borderId="0" xfId="0" applyNumberFormat="1" applyFont="1"/>
    <xf numFmtId="0" fontId="0" fillId="0" borderId="0" xfId="0" applyFont="1" applyAlignment="1">
      <alignment horizontal="right"/>
    </xf>
    <xf numFmtId="164" fontId="0" fillId="6" borderId="0" xfId="0" applyNumberFormat="1" applyFont="1" applyFill="1"/>
    <xf numFmtId="164" fontId="0" fillId="2" borderId="0" xfId="0" applyNumberFormat="1" applyFont="1" applyFill="1"/>
    <xf numFmtId="2" fontId="0" fillId="6" borderId="0" xfId="0" applyNumberFormat="1" applyFont="1" applyFill="1"/>
    <xf numFmtId="2" fontId="0" fillId="2" borderId="0" xfId="0" applyNumberFormat="1" applyFont="1" applyFill="1"/>
    <xf numFmtId="1" fontId="0" fillId="5" borderId="0" xfId="0" applyNumberFormat="1" applyFont="1" applyFill="1"/>
    <xf numFmtId="1" fontId="0" fillId="2" borderId="0" xfId="0" applyNumberFormat="1" applyFont="1" applyFill="1"/>
    <xf numFmtId="0" fontId="0" fillId="0" borderId="1" xfId="0" applyFont="1" applyBorder="1" applyAlignment="1">
      <alignment horizontal="right"/>
    </xf>
    <xf numFmtId="2" fontId="0" fillId="2" borderId="1" xfId="0" applyNumberFormat="1" applyFont="1" applyFill="1" applyBorder="1"/>
    <xf numFmtId="0" fontId="0" fillId="5" borderId="0" xfId="0" applyFont="1" applyFill="1"/>
    <xf numFmtId="2" fontId="0" fillId="5" borderId="0" xfId="0" applyNumberFormat="1" applyFont="1" applyFill="1"/>
    <xf numFmtId="0" fontId="0" fillId="4" borderId="2" xfId="0" applyFont="1" applyFill="1" applyBorder="1"/>
    <xf numFmtId="0" fontId="0" fillId="4" borderId="2" xfId="0" applyFont="1" applyFill="1" applyBorder="1" applyAlignment="1">
      <alignment horizontal="right"/>
    </xf>
    <xf numFmtId="1" fontId="0" fillId="4" borderId="0" xfId="0" applyNumberFormat="1" applyFont="1" applyFill="1"/>
    <xf numFmtId="0" fontId="0" fillId="4" borderId="0" xfId="0" applyFont="1" applyFill="1"/>
    <xf numFmtId="0" fontId="0" fillId="3" borderId="0" xfId="0" applyFont="1" applyFill="1"/>
    <xf numFmtId="1" fontId="2" fillId="9" borderId="0" xfId="1" applyNumberFormat="1" applyFont="1" applyFill="1" applyBorder="1" applyAlignment="1">
      <alignment horizontal="right"/>
    </xf>
    <xf numFmtId="0" fontId="2" fillId="3" borderId="0" xfId="1" applyFont="1" applyFill="1" applyBorder="1" applyAlignment="1">
      <alignment horizontal="left"/>
    </xf>
    <xf numFmtId="164" fontId="0" fillId="4" borderId="0" xfId="0" applyNumberFormat="1" applyFont="1" applyFill="1"/>
    <xf numFmtId="1" fontId="0" fillId="6" borderId="0" xfId="0" applyNumberFormat="1" applyFont="1" applyFill="1" applyAlignment="1">
      <alignment horizontal="right"/>
    </xf>
    <xf numFmtId="0" fontId="0" fillId="6" borderId="2" xfId="0" applyFont="1" applyFill="1" applyBorder="1" applyAlignment="1">
      <alignment horizontal="right"/>
    </xf>
    <xf numFmtId="164" fontId="0" fillId="2" borderId="1" xfId="0" applyNumberFormat="1" applyFont="1" applyFill="1" applyBorder="1"/>
    <xf numFmtId="0" fontId="0" fillId="9" borderId="0" xfId="0" applyFont="1" applyFill="1"/>
    <xf numFmtId="0" fontId="0" fillId="6" borderId="0" xfId="0" applyFont="1" applyFill="1"/>
    <xf numFmtId="2" fontId="0" fillId="0" borderId="0" xfId="0" applyNumberFormat="1" applyFont="1"/>
    <xf numFmtId="0" fontId="2" fillId="3" borderId="0" xfId="1" applyFont="1" applyFill="1" applyBorder="1"/>
    <xf numFmtId="0" fontId="3" fillId="3" borderId="1" xfId="1" applyFont="1" applyFill="1" applyBorder="1" applyAlignment="1">
      <alignment horizontal="left"/>
    </xf>
    <xf numFmtId="0" fontId="3" fillId="3" borderId="1" xfId="1" applyFont="1" applyFill="1" applyBorder="1" applyAlignment="1">
      <alignment horizontal="right"/>
    </xf>
    <xf numFmtId="0" fontId="3" fillId="3" borderId="1" xfId="1" applyFont="1" applyFill="1" applyBorder="1" applyAlignment="1">
      <alignment horizontal="center"/>
    </xf>
    <xf numFmtId="0" fontId="3" fillId="3" borderId="0" xfId="1" applyFont="1" applyFill="1" applyBorder="1" applyAlignment="1">
      <alignment horizontal="left"/>
    </xf>
    <xf numFmtId="0" fontId="3" fillId="3" borderId="0" xfId="1" applyFont="1" applyFill="1" applyBorder="1" applyAlignment="1">
      <alignment horizontal="right"/>
    </xf>
    <xf numFmtId="0" fontId="3" fillId="3" borderId="2" xfId="1" applyFont="1" applyFill="1" applyBorder="1" applyAlignment="1">
      <alignment horizontal="right"/>
    </xf>
    <xf numFmtId="0" fontId="3" fillId="3" borderId="2" xfId="1" applyFont="1" applyFill="1" applyBorder="1" applyAlignment="1">
      <alignment horizontal="left"/>
    </xf>
    <xf numFmtId="0" fontId="3" fillId="3" borderId="2" xfId="1" applyFont="1" applyFill="1" applyBorder="1" applyAlignment="1">
      <alignment horizontal="right"/>
    </xf>
    <xf numFmtId="0" fontId="4" fillId="3" borderId="2" xfId="1" applyFont="1" applyFill="1" applyBorder="1" applyAlignment="1">
      <alignment horizontal="right"/>
    </xf>
    <xf numFmtId="1" fontId="3" fillId="3" borderId="1" xfId="1" applyNumberFormat="1" applyFont="1" applyFill="1" applyBorder="1" applyAlignment="1">
      <alignment horizontal="right"/>
    </xf>
    <xf numFmtId="2" fontId="3" fillId="3" borderId="1" xfId="1" applyNumberFormat="1" applyFont="1" applyFill="1" applyBorder="1" applyAlignment="1">
      <alignment horizontal="right"/>
    </xf>
    <xf numFmtId="11" fontId="3" fillId="3" borderId="1" xfId="1" applyNumberFormat="1" applyFont="1" applyFill="1" applyBorder="1"/>
    <xf numFmtId="1" fontId="3" fillId="3" borderId="0" xfId="1" applyNumberFormat="1" applyFont="1" applyFill="1" applyBorder="1" applyAlignment="1">
      <alignment horizontal="right"/>
    </xf>
    <xf numFmtId="2" fontId="3" fillId="3" borderId="0" xfId="1" applyNumberFormat="1" applyFont="1" applyFill="1" applyBorder="1" applyAlignment="1">
      <alignment horizontal="right"/>
    </xf>
    <xf numFmtId="11" fontId="3" fillId="3" borderId="0" xfId="1" applyNumberFormat="1" applyFont="1" applyFill="1" applyBorder="1"/>
    <xf numFmtId="1" fontId="3" fillId="3" borderId="2" xfId="1" applyNumberFormat="1" applyFont="1" applyFill="1" applyBorder="1" applyAlignment="1">
      <alignment horizontal="right"/>
    </xf>
    <xf numFmtId="2" fontId="3" fillId="3" borderId="2" xfId="1" applyNumberFormat="1" applyFont="1" applyFill="1" applyBorder="1" applyAlignment="1">
      <alignment horizontal="right"/>
    </xf>
    <xf numFmtId="11" fontId="3" fillId="3" borderId="2" xfId="1" applyNumberFormat="1" applyFont="1" applyFill="1" applyBorder="1"/>
    <xf numFmtId="0" fontId="2" fillId="2" borderId="2" xfId="1" applyFont="1" applyFill="1" applyBorder="1"/>
    <xf numFmtId="0" fontId="2" fillId="2" borderId="1" xfId="1" applyFont="1" applyFill="1" applyBorder="1"/>
    <xf numFmtId="0" fontId="2" fillId="2" borderId="0" xfId="1" applyFont="1" applyFill="1" applyBorder="1"/>
    <xf numFmtId="164" fontId="2" fillId="2" borderId="0" xfId="1" applyNumberFormat="1" applyFont="1" applyFill="1" applyBorder="1"/>
    <xf numFmtId="164" fontId="2" fillId="2" borderId="2" xfId="1" applyNumberFormat="1" applyFont="1" applyFill="1" applyBorder="1"/>
    <xf numFmtId="1" fontId="2" fillId="2" borderId="1" xfId="1" applyNumberFormat="1" applyFont="1" applyFill="1" applyBorder="1"/>
    <xf numFmtId="1" fontId="2" fillId="2" borderId="0" xfId="1" applyNumberFormat="1" applyFont="1" applyFill="1" applyBorder="1"/>
    <xf numFmtId="1" fontId="2" fillId="2" borderId="2" xfId="1" applyNumberFormat="1" applyFont="1" applyFill="1" applyBorder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0" fontId="5" fillId="0" borderId="0" xfId="1" applyFont="1"/>
    <xf numFmtId="1" fontId="5" fillId="10" borderId="0" xfId="1" applyNumberFormat="1" applyFont="1" applyFill="1" applyBorder="1" applyAlignment="1">
      <alignment horizontal="right"/>
    </xf>
    <xf numFmtId="0" fontId="5" fillId="8" borderId="3" xfId="1" applyFont="1" applyFill="1" applyBorder="1" applyAlignment="1">
      <alignment horizontal="left"/>
    </xf>
    <xf numFmtId="0" fontId="5" fillId="8" borderId="3" xfId="1" applyFont="1" applyFill="1" applyBorder="1" applyAlignment="1">
      <alignment horizontal="right"/>
    </xf>
    <xf numFmtId="1" fontId="5" fillId="8" borderId="3" xfId="1" applyNumberFormat="1" applyFont="1" applyFill="1" applyBorder="1" applyAlignment="1">
      <alignment horizontal="right"/>
    </xf>
    <xf numFmtId="2" fontId="5" fillId="8" borderId="3" xfId="1" applyNumberFormat="1" applyFont="1" applyFill="1" applyBorder="1" applyAlignment="1">
      <alignment horizontal="right"/>
    </xf>
    <xf numFmtId="11" fontId="5" fillId="8" borderId="3" xfId="1" applyNumberFormat="1" applyFont="1" applyFill="1" applyBorder="1" applyAlignment="1">
      <alignment horizontal="right"/>
    </xf>
    <xf numFmtId="0" fontId="5" fillId="3" borderId="1" xfId="1" applyFont="1" applyFill="1" applyBorder="1" applyAlignment="1">
      <alignment horizontal="left"/>
    </xf>
    <xf numFmtId="0" fontId="5" fillId="3" borderId="1" xfId="1" applyFont="1" applyFill="1" applyBorder="1" applyAlignment="1">
      <alignment horizontal="right"/>
    </xf>
    <xf numFmtId="1" fontId="5" fillId="3" borderId="1" xfId="1" applyNumberFormat="1" applyFont="1" applyFill="1" applyBorder="1" applyAlignment="1">
      <alignment horizontal="right"/>
    </xf>
    <xf numFmtId="2" fontId="5" fillId="3" borderId="1" xfId="1" applyNumberFormat="1" applyFont="1" applyFill="1" applyBorder="1" applyAlignment="1">
      <alignment horizontal="right"/>
    </xf>
    <xf numFmtId="11" fontId="5" fillId="3" borderId="1" xfId="1" applyNumberFormat="1" applyFont="1" applyFill="1" applyBorder="1"/>
    <xf numFmtId="2" fontId="5" fillId="7" borderId="0" xfId="1" applyNumberFormat="1" applyFont="1" applyFill="1"/>
    <xf numFmtId="0" fontId="5" fillId="3" borderId="0" xfId="1" applyFont="1" applyFill="1" applyBorder="1" applyAlignment="1">
      <alignment horizontal="left"/>
    </xf>
    <xf numFmtId="0" fontId="5" fillId="3" borderId="0" xfId="1" applyFont="1" applyFill="1" applyBorder="1" applyAlignment="1">
      <alignment horizontal="right"/>
    </xf>
    <xf numFmtId="1" fontId="5" fillId="3" borderId="0" xfId="1" applyNumberFormat="1" applyFont="1" applyFill="1" applyBorder="1" applyAlignment="1">
      <alignment horizontal="right"/>
    </xf>
    <xf numFmtId="2" fontId="5" fillId="3" borderId="0" xfId="1" applyNumberFormat="1" applyFont="1" applyFill="1" applyBorder="1" applyAlignment="1">
      <alignment horizontal="right"/>
    </xf>
    <xf numFmtId="11" fontId="5" fillId="3" borderId="0" xfId="1" applyNumberFormat="1" applyFont="1" applyFill="1" applyBorder="1"/>
    <xf numFmtId="0" fontId="5" fillId="3" borderId="2" xfId="1" applyFont="1" applyFill="1" applyBorder="1" applyAlignment="1">
      <alignment horizontal="left"/>
    </xf>
    <xf numFmtId="0" fontId="5" fillId="3" borderId="2" xfId="1" applyFont="1" applyFill="1" applyBorder="1" applyAlignment="1">
      <alignment horizontal="right"/>
    </xf>
    <xf numFmtId="1" fontId="5" fillId="3" borderId="2" xfId="1" applyNumberFormat="1" applyFont="1" applyFill="1" applyBorder="1" applyAlignment="1">
      <alignment horizontal="right"/>
    </xf>
    <xf numFmtId="2" fontId="5" fillId="3" borderId="2" xfId="1" applyNumberFormat="1" applyFont="1" applyFill="1" applyBorder="1" applyAlignment="1">
      <alignment horizontal="right"/>
    </xf>
    <xf numFmtId="11" fontId="5" fillId="3" borderId="2" xfId="1" applyNumberFormat="1" applyFont="1" applyFill="1" applyBorder="1"/>
    <xf numFmtId="0" fontId="5" fillId="10" borderId="0" xfId="1" applyFont="1" applyFill="1"/>
    <xf numFmtId="0" fontId="5" fillId="0" borderId="0" xfId="1" applyFont="1" applyBorder="1" applyAlignment="1">
      <alignment horizontal="left"/>
    </xf>
    <xf numFmtId="0" fontId="5" fillId="0" borderId="0" xfId="1" applyFont="1" applyBorder="1" applyAlignment="1">
      <alignment horizontal="right"/>
    </xf>
    <xf numFmtId="0" fontId="5" fillId="0" borderId="0" xfId="1" applyFont="1" applyBorder="1"/>
    <xf numFmtId="1" fontId="5" fillId="7" borderId="0" xfId="1" applyNumberFormat="1" applyFont="1" applyFill="1" applyBorder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241597849049357"/>
          <c:y val="2.9239772045627586E-2"/>
          <c:w val="0.86095565170566002"/>
          <c:h val="0.83009631608548917"/>
        </c:manualLayout>
      </c:layout>
      <c:scatterChart>
        <c:scatterStyle val="smoothMarker"/>
        <c:varyColors val="0"/>
        <c:ser>
          <c:idx val="0"/>
          <c:order val="0"/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Antoine!$M$7:$R$7</c:f>
              <c:numCache>
                <c:formatCode>General</c:formatCode>
                <c:ptCount val="6"/>
                <c:pt idx="0">
                  <c:v>-82.2</c:v>
                </c:pt>
                <c:pt idx="1">
                  <c:v>-74.86</c:v>
                </c:pt>
                <c:pt idx="2">
                  <c:v>-67.52</c:v>
                </c:pt>
                <c:pt idx="3">
                  <c:v>-60.18</c:v>
                </c:pt>
                <c:pt idx="4">
                  <c:v>-52.84</c:v>
                </c:pt>
                <c:pt idx="5">
                  <c:v>-45.5</c:v>
                </c:pt>
              </c:numCache>
            </c:numRef>
          </c:xVal>
          <c:yVal>
            <c:numRef>
              <c:f>Antoine!$M$12:$R$12</c:f>
              <c:numCache>
                <c:formatCode>0</c:formatCode>
                <c:ptCount val="6"/>
                <c:pt idx="0">
                  <c:v>11.453595057783195</c:v>
                </c:pt>
                <c:pt idx="1">
                  <c:v>15.112555964512007</c:v>
                </c:pt>
                <c:pt idx="2">
                  <c:v>19.523423815462433</c:v>
                </c:pt>
                <c:pt idx="3">
                  <c:v>24.751809918878486</c:v>
                </c:pt>
                <c:pt idx="4">
                  <c:v>30.857348085618408</c:v>
                </c:pt>
                <c:pt idx="5">
                  <c:v>37.893080619960408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720-490F-BD0E-E4646D540670}"/>
            </c:ext>
          </c:extLst>
        </c:ser>
        <c:ser>
          <c:idx val="5"/>
          <c:order val="1"/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Antoine!$M$8:$R$8</c:f>
              <c:numCache>
                <c:formatCode>General</c:formatCode>
                <c:ptCount val="6"/>
                <c:pt idx="0">
                  <c:v>-67.2</c:v>
                </c:pt>
                <c:pt idx="1">
                  <c:v>-47.32</c:v>
                </c:pt>
                <c:pt idx="2">
                  <c:v>-27.439999999999998</c:v>
                </c:pt>
                <c:pt idx="3">
                  <c:v>-7.5599999999999952</c:v>
                </c:pt>
                <c:pt idx="4">
                  <c:v>12.320000000000007</c:v>
                </c:pt>
                <c:pt idx="5">
                  <c:v>32.200000000000003</c:v>
                </c:pt>
              </c:numCache>
            </c:numRef>
          </c:xVal>
          <c:yVal>
            <c:numRef>
              <c:f>Antoine!$M$13:$R$13</c:f>
              <c:numCache>
                <c:formatCode>0</c:formatCode>
                <c:ptCount val="6"/>
                <c:pt idx="0">
                  <c:v>2.8232236151445362</c:v>
                </c:pt>
                <c:pt idx="1">
                  <c:v>6.053185804497125</c:v>
                </c:pt>
                <c:pt idx="2">
                  <c:v>11.365756643437933</c:v>
                </c:pt>
                <c:pt idx="3">
                  <c:v>19.293990925360841</c:v>
                </c:pt>
                <c:pt idx="4">
                  <c:v>30.282306161942202</c:v>
                </c:pt>
                <c:pt idx="5">
                  <c:v>44.662901726093146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720-490F-BD0E-E4646D540670}"/>
            </c:ext>
          </c:extLst>
        </c:ser>
        <c:ser>
          <c:idx val="1"/>
          <c:order val="2"/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Antoine!$M$9:$R$9</c:f>
              <c:numCache>
                <c:formatCode>General</c:formatCode>
                <c:ptCount val="6"/>
                <c:pt idx="0">
                  <c:v>-42.2</c:v>
                </c:pt>
                <c:pt idx="1">
                  <c:v>-7.2800000000000011</c:v>
                </c:pt>
                <c:pt idx="2">
                  <c:v>27.64</c:v>
                </c:pt>
                <c:pt idx="3">
                  <c:v>62.560000000000016</c:v>
                </c:pt>
                <c:pt idx="4">
                  <c:v>97.48</c:v>
                </c:pt>
                <c:pt idx="5">
                  <c:v>132.40000000000003</c:v>
                </c:pt>
              </c:numCache>
            </c:numRef>
          </c:xVal>
          <c:yVal>
            <c:numRef>
              <c:f>Antoine!$M$14:$R$14</c:f>
              <c:numCache>
                <c:formatCode>0</c:formatCode>
                <c:ptCount val="6"/>
                <c:pt idx="0">
                  <c:v>0.64157183832364095</c:v>
                </c:pt>
                <c:pt idx="1">
                  <c:v>3.2262374666216758</c:v>
                </c:pt>
                <c:pt idx="2">
                  <c:v>10.646862260799516</c:v>
                </c:pt>
                <c:pt idx="3">
                  <c:v>26.676130245212509</c:v>
                </c:pt>
                <c:pt idx="4">
                  <c:v>55.27321672696602</c:v>
                </c:pt>
                <c:pt idx="5">
                  <c:v>99.907363385799428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720-490F-BD0E-E4646D540670}"/>
            </c:ext>
          </c:extLst>
        </c:ser>
        <c:ser>
          <c:idx val="4"/>
          <c:order val="3"/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Antoine!$M$10:$R$10</c:f>
              <c:numCache>
                <c:formatCode>0.0</c:formatCode>
                <c:ptCount val="6"/>
                <c:pt idx="0">
                  <c:v>-51.7</c:v>
                </c:pt>
                <c:pt idx="1">
                  <c:v>-10.960000000000008</c:v>
                </c:pt>
                <c:pt idx="2">
                  <c:v>29.779999999999987</c:v>
                </c:pt>
                <c:pt idx="3">
                  <c:v>70.519999999999982</c:v>
                </c:pt>
                <c:pt idx="4">
                  <c:v>111.25999999999998</c:v>
                </c:pt>
                <c:pt idx="5">
                  <c:v>152</c:v>
                </c:pt>
              </c:numCache>
            </c:numRef>
          </c:xVal>
          <c:yVal>
            <c:numRef>
              <c:f>Antoine!$M$15:$R$15</c:f>
              <c:numCache>
                <c:formatCode>0</c:formatCode>
                <c:ptCount val="6"/>
                <c:pt idx="0">
                  <c:v>8.5129554374991034E-2</c:v>
                </c:pt>
                <c:pt idx="1">
                  <c:v>0.66847275472166212</c:v>
                </c:pt>
                <c:pt idx="2">
                  <c:v>2.808640542387248</c:v>
                </c:pt>
                <c:pt idx="3">
                  <c:v>8.0845210588062297</c:v>
                </c:pt>
                <c:pt idx="4">
                  <c:v>18.193546474949695</c:v>
                </c:pt>
                <c:pt idx="5">
                  <c:v>34.571804414809392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720-490F-BD0E-E4646D540670}"/>
            </c:ext>
          </c:extLst>
        </c:ser>
        <c:ser>
          <c:idx val="2"/>
          <c:order val="4"/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Antoine!$M$11:$R$11</c:f>
              <c:numCache>
                <c:formatCode>0.0</c:formatCode>
                <c:ptCount val="6"/>
                <c:pt idx="0">
                  <c:v>0.6</c:v>
                </c:pt>
                <c:pt idx="1">
                  <c:v>40.080000000000005</c:v>
                </c:pt>
                <c:pt idx="2">
                  <c:v>79.56</c:v>
                </c:pt>
                <c:pt idx="3">
                  <c:v>119.04</c:v>
                </c:pt>
                <c:pt idx="4">
                  <c:v>158.52000000000001</c:v>
                </c:pt>
                <c:pt idx="5">
                  <c:v>198</c:v>
                </c:pt>
              </c:numCache>
            </c:numRef>
          </c:xVal>
          <c:yVal>
            <c:numRef>
              <c:f>Antoine!$M$16:$R$16</c:f>
              <c:numCache>
                <c:formatCode>0</c:formatCode>
                <c:ptCount val="6"/>
                <c:pt idx="0">
                  <c:v>0.4136937594395973</c:v>
                </c:pt>
                <c:pt idx="1">
                  <c:v>1.7493991064817693</c:v>
                </c:pt>
                <c:pt idx="2">
                  <c:v>5.1621232739147116</c:v>
                </c:pt>
                <c:pt idx="3">
                  <c:v>11.98130455256943</c:v>
                </c:pt>
                <c:pt idx="4">
                  <c:v>23.504452237751611</c:v>
                </c:pt>
                <c:pt idx="5">
                  <c:v>40.799753417949923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720-490F-BD0E-E4646D5406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6751312"/>
        <c:axId val="396752488"/>
      </c:scatterChart>
      <c:valAx>
        <c:axId val="396751312"/>
        <c:scaling>
          <c:orientation val="minMax"/>
          <c:max val="200"/>
          <c:min val="-10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inorGridlines>
          <c:spPr>
            <a:ln w="3175">
              <a:solidFill>
                <a:srgbClr val="C0C0C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el-GR"/>
                  <a:t>Θερμοκρασία</a:t>
                </a:r>
                <a:r>
                  <a:rPr lang="en-US"/>
                  <a:t> (</a:t>
                </a:r>
                <a:r>
                  <a:rPr lang="en-US" baseline="30000"/>
                  <a:t>o</a:t>
                </a:r>
                <a:r>
                  <a:rPr lang="en-US"/>
                  <a:t>C)</a:t>
                </a:r>
              </a:p>
            </c:rich>
          </c:tx>
          <c:layout>
            <c:manualLayout>
              <c:xMode val="edge"/>
              <c:yMode val="edge"/>
              <c:x val="0.45288825884819006"/>
              <c:y val="0.9350872483221476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Segoe Print"/>
                <a:ea typeface="Segoe Print"/>
                <a:cs typeface="Segoe Print"/>
              </a:defRPr>
            </a:pPr>
            <a:endParaRPr lang="en-US"/>
          </a:p>
        </c:txPr>
        <c:crossAx val="396752488"/>
        <c:crossesAt val="1E-3"/>
        <c:crossBetween val="midCat"/>
        <c:majorUnit val="50"/>
        <c:minorUnit val="10"/>
      </c:valAx>
      <c:valAx>
        <c:axId val="396752488"/>
        <c:scaling>
          <c:logBase val="10"/>
          <c:orientation val="minMax"/>
          <c:max val="100"/>
          <c:min val="0.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inorGridlines>
          <c:spPr>
            <a:ln w="3175">
              <a:solidFill>
                <a:srgbClr val="C0C0C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el-GR"/>
                  <a:t>Τάση ατμών </a:t>
                </a:r>
                <a:r>
                  <a:rPr lang="en-US"/>
                  <a:t>(bar)</a:t>
                </a:r>
              </a:p>
            </c:rich>
          </c:tx>
          <c:layout>
            <c:manualLayout>
              <c:xMode val="edge"/>
              <c:yMode val="edge"/>
              <c:x val="8.0980086533551897E-3"/>
              <c:y val="0.3582795539819267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396751312"/>
        <c:crossesAt val="-150"/>
        <c:crossBetween val="midCat"/>
        <c:majorUnit val="10"/>
        <c:min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6350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Segoe Print" panose="02000600000000000000" pitchFamily="2" charset="0"/>
          <a:ea typeface="Comic Sans MS"/>
          <a:cs typeface="Comic Sans MS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 verticalDpi="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m!$K$3</c:f>
              <c:strCache>
                <c:ptCount val="1"/>
                <c:pt idx="0">
                  <c:v>Process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Pt>
            <c:idx val="2"/>
            <c:marker>
              <c:symbol val="none"/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88E0-4095-9D78-6706ADE5DBB7}"/>
              </c:ext>
            </c:extLst>
          </c:dPt>
          <c:xVal>
            <c:numRef>
              <c:f>m!$J$4:$J$7</c:f>
              <c:numCache>
                <c:formatCode>0</c:formatCode>
                <c:ptCount val="4"/>
                <c:pt idx="0">
                  <c:v>0</c:v>
                </c:pt>
                <c:pt idx="1">
                  <c:v>352.5878612165701</c:v>
                </c:pt>
                <c:pt idx="2">
                  <c:v>452.5878612165701</c:v>
                </c:pt>
                <c:pt idx="3">
                  <c:v>905.17572243314021</c:v>
                </c:pt>
              </c:numCache>
            </c:numRef>
          </c:xVal>
          <c:yVal>
            <c:numRef>
              <c:f>m!$K$4:$K$7</c:f>
              <c:numCache>
                <c:formatCode>General</c:formatCode>
                <c:ptCount val="4"/>
                <c:pt idx="0">
                  <c:v>-20</c:v>
                </c:pt>
                <c:pt idx="1">
                  <c:v>-20</c:v>
                </c:pt>
                <c:pt idx="2">
                  <c:v>25</c:v>
                </c:pt>
                <c:pt idx="3">
                  <c:v>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8E0-4095-9D78-6706ADE5DBB7}"/>
            </c:ext>
          </c:extLst>
        </c:ser>
        <c:ser>
          <c:idx val="1"/>
          <c:order val="1"/>
          <c:tx>
            <c:strRef>
              <c:f>m!$L$3</c:f>
              <c:strCache>
                <c:ptCount val="1"/>
                <c:pt idx="0">
                  <c:v>Heat Pump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m!$J$4:$J$7</c:f>
              <c:numCache>
                <c:formatCode>0</c:formatCode>
                <c:ptCount val="4"/>
                <c:pt idx="0">
                  <c:v>0</c:v>
                </c:pt>
                <c:pt idx="1">
                  <c:v>352.5878612165701</c:v>
                </c:pt>
                <c:pt idx="2">
                  <c:v>452.5878612165701</c:v>
                </c:pt>
                <c:pt idx="3">
                  <c:v>905.17572243314021</c:v>
                </c:pt>
              </c:numCache>
            </c:numRef>
          </c:xVal>
          <c:yVal>
            <c:numRef>
              <c:f>m!$L$4:$L$7</c:f>
              <c:numCache>
                <c:formatCode>General</c:formatCode>
                <c:ptCount val="4"/>
                <c:pt idx="0">
                  <c:v>-30</c:v>
                </c:pt>
                <c:pt idx="1">
                  <c:v>-30</c:v>
                </c:pt>
                <c:pt idx="2">
                  <c:v>35</c:v>
                </c:pt>
                <c:pt idx="3">
                  <c:v>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8E0-4095-9D78-6706ADE5DBB7}"/>
            </c:ext>
          </c:extLst>
        </c:ser>
        <c:ser>
          <c:idx val="2"/>
          <c:order val="2"/>
          <c:tx>
            <c:v>Limis</c:v>
          </c:tx>
          <c:spPr>
            <a:ln w="38100" cap="rnd">
              <a:solidFill>
                <a:srgbClr val="FF0000"/>
              </a:solidFill>
              <a:prstDash val="sysDot"/>
              <a:round/>
            </a:ln>
            <a:effectLst/>
          </c:spPr>
          <c:marker>
            <c:symbol val="none"/>
          </c:marker>
          <c:dPt>
            <c:idx val="2"/>
            <c:marker>
              <c:symbol val="none"/>
            </c:marker>
            <c:bubble3D val="0"/>
            <c:spPr>
              <a:ln w="38100" cap="rnd">
                <a:noFill/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88E0-4095-9D78-6706ADE5DBB7}"/>
              </c:ext>
            </c:extLst>
          </c:dPt>
          <c:xVal>
            <c:numRef>
              <c:f>m!$J$4:$J$7</c:f>
              <c:numCache>
                <c:formatCode>0</c:formatCode>
                <c:ptCount val="4"/>
                <c:pt idx="0">
                  <c:v>0</c:v>
                </c:pt>
                <c:pt idx="1">
                  <c:v>352.5878612165701</c:v>
                </c:pt>
                <c:pt idx="2">
                  <c:v>452.5878612165701</c:v>
                </c:pt>
                <c:pt idx="3">
                  <c:v>905.17572243314021</c:v>
                </c:pt>
              </c:numCache>
            </c:numRef>
          </c:xVal>
          <c:yVal>
            <c:numRef>
              <c:f>m!$M$4:$M$7</c:f>
              <c:numCache>
                <c:formatCode>General</c:formatCode>
                <c:ptCount val="4"/>
                <c:pt idx="0" formatCode="0.0">
                  <c:v>-42.2</c:v>
                </c:pt>
                <c:pt idx="1">
                  <c:v>-42.2</c:v>
                </c:pt>
                <c:pt idx="2">
                  <c:v>132.4</c:v>
                </c:pt>
                <c:pt idx="3">
                  <c:v>132.4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88E0-4095-9D78-6706ADE5DB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6756016"/>
        <c:axId val="396756408"/>
      </c:scatterChart>
      <c:valAx>
        <c:axId val="396756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6756408"/>
        <c:crosses val="autoZero"/>
        <c:crossBetween val="midCat"/>
      </c:valAx>
      <c:valAx>
        <c:axId val="396756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67560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4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m!$B$21</c:f>
              <c:strCache>
                <c:ptCount val="1"/>
                <c:pt idx="0">
                  <c:v>COP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70C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EDE-4737-937F-E225B319AD7D}"/>
              </c:ext>
            </c:extLst>
          </c:dPt>
          <c:val>
            <c:numRef>
              <c:f>m!$C$21</c:f>
              <c:numCache>
                <c:formatCode>0.00</c:formatCode>
                <c:ptCount val="1"/>
                <c:pt idx="0">
                  <c:v>3.5258786121657013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DE-4737-937F-E225B319AD7D}"/>
            </c:ext>
          </c:extLst>
        </c:ser>
        <c:ser>
          <c:idx val="0"/>
          <c:order val="1"/>
          <c:tx>
            <c:strRef>
              <c:f>m!$B$20</c:f>
              <c:strCache>
                <c:ptCount val="1"/>
                <c:pt idx="0">
                  <c:v>IP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m!$C$20</c:f>
              <c:numCache>
                <c:formatCode>0.00</c:formatCode>
                <c:ptCount val="1"/>
                <c:pt idx="0">
                  <c:v>0.21258292629583725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DE-4737-937F-E225B319AD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49941000"/>
        <c:axId val="449942960"/>
      </c:barChart>
      <c:catAx>
        <c:axId val="44994100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49942960"/>
        <c:crosses val="autoZero"/>
        <c:auto val="1"/>
        <c:lblAlgn val="ctr"/>
        <c:lblOffset val="100"/>
        <c:noMultiLvlLbl val="0"/>
      </c:catAx>
      <c:valAx>
        <c:axId val="449942960"/>
        <c:scaling>
          <c:orientation val="minMax"/>
          <c:max val="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9941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4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5" dropStyle="combo" dx="20" fmlaLink="jRefr" fmlaRange="Refrigerant." noThreeD="1" sel="1" val="0"/>
</file>

<file path=xl/ctrlProps/ctrlProp2.xml><?xml version="1.0" encoding="utf-8"?>
<formControlPr xmlns="http://schemas.microsoft.com/office/spreadsheetml/2009/9/main" objectType="Drop" dropLines="5" dropStyle="combo" dx="20" fmlaLink="jLoad" fmlaRange="Load." noThreeD="1" sel="4" val="0"/>
</file>

<file path=xl/ctrlProps/ctrlProp3.xml><?xml version="1.0" encoding="utf-8"?>
<formControlPr xmlns="http://schemas.microsoft.com/office/spreadsheetml/2009/9/main" objectType="Scroll" dx="31" fmlaLink="dTmin" horiz="1" max="100" page="10" val="1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12</xdr:row>
      <xdr:rowOff>0</xdr:rowOff>
    </xdr:from>
    <xdr:to>
      <xdr:col>11</xdr:col>
      <xdr:colOff>0</xdr:colOff>
      <xdr:row>44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0.18098</cdr:x>
      <cdr:y>0.47791</cdr:y>
    </cdr:from>
    <cdr:to>
      <cdr:x>0.32697</cdr:x>
      <cdr:y>0.5339</cdr:y>
    </cdr:to>
    <cdr:sp macro="" textlink="">
      <cdr:nvSpPr>
        <cdr:cNvPr id="716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40017" y="2479372"/>
          <a:ext cx="919608" cy="29047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45720" tIns="50292" rIns="45720" bIns="5029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Segoe Print" panose="02000600000000000000" pitchFamily="2" charset="0"/>
            </a:rPr>
            <a:t>R-170</a:t>
          </a:r>
        </a:p>
      </cdr:txBody>
    </cdr:sp>
  </cdr:relSizeAnchor>
  <cdr:relSizeAnchor xmlns:cdr="http://schemas.openxmlformats.org/drawingml/2006/chartDrawing">
    <cdr:from>
      <cdr:x>0.2067</cdr:x>
      <cdr:y>0.65045</cdr:y>
    </cdr:from>
    <cdr:to>
      <cdr:x>0.34466</cdr:x>
      <cdr:y>0.70743</cdr:y>
    </cdr:to>
    <cdr:sp macro="" textlink="">
      <cdr:nvSpPr>
        <cdr:cNvPr id="717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02059" y="3374523"/>
          <a:ext cx="869013" cy="29560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45720" tIns="50292" rIns="45720" bIns="5029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Segoe Print" panose="02000600000000000000" pitchFamily="2" charset="0"/>
            </a:rPr>
            <a:t>R-717</a:t>
          </a:r>
        </a:p>
      </cdr:txBody>
    </cdr:sp>
  </cdr:relSizeAnchor>
  <cdr:relSizeAnchor xmlns:cdr="http://schemas.openxmlformats.org/drawingml/2006/chartDrawing">
    <cdr:from>
      <cdr:x>0.40966</cdr:x>
      <cdr:y>0.69696</cdr:y>
    </cdr:from>
    <cdr:to>
      <cdr:x>0.55213</cdr:x>
      <cdr:y>0.75295</cdr:y>
    </cdr:to>
    <cdr:sp macro="" textlink="">
      <cdr:nvSpPr>
        <cdr:cNvPr id="7171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580535" y="3615772"/>
          <a:ext cx="897426" cy="29047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45720" tIns="50292" rIns="45720" bIns="5029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Segoe Print" panose="02000600000000000000" pitchFamily="2" charset="0"/>
            </a:rPr>
            <a:t>R-113</a:t>
          </a:r>
        </a:p>
      </cdr:txBody>
    </cdr:sp>
  </cdr:relSizeAnchor>
  <cdr:relSizeAnchor xmlns:cdr="http://schemas.openxmlformats.org/drawingml/2006/chartDrawing">
    <cdr:from>
      <cdr:x>0.29707</cdr:x>
      <cdr:y>0.81098</cdr:y>
    </cdr:from>
    <cdr:to>
      <cdr:x>0.4401</cdr:x>
      <cdr:y>0.865</cdr:y>
    </cdr:to>
    <cdr:sp macro="" textlink="">
      <cdr:nvSpPr>
        <cdr:cNvPr id="7174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71291" y="4207344"/>
          <a:ext cx="901017" cy="28025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45720" tIns="50292" rIns="45720" bIns="5029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Segoe Print" panose="02000600000000000000" pitchFamily="2" charset="0"/>
            </a:rPr>
            <a:t>R-600</a:t>
          </a:r>
        </a:p>
      </cdr:txBody>
    </cdr:sp>
  </cdr:relSizeAnchor>
  <cdr:relSizeAnchor xmlns:cdr="http://schemas.openxmlformats.org/drawingml/2006/chartDrawing">
    <cdr:from>
      <cdr:x>0.14872</cdr:x>
      <cdr:y>0.31704</cdr:y>
    </cdr:from>
    <cdr:to>
      <cdr:x>0.26263</cdr:x>
      <cdr:y>0.37131</cdr:y>
    </cdr:to>
    <cdr:sp macro="" textlink="">
      <cdr:nvSpPr>
        <cdr:cNvPr id="7175" name="Text Box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06782" y="1499828"/>
          <a:ext cx="847741" cy="25673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45720" tIns="50292" rIns="45720" bIns="5029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Segoe Print" panose="02000600000000000000" pitchFamily="2" charset="0"/>
            </a:rPr>
            <a:t>R-14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215899</xdr:colOff>
      <xdr:row>21</xdr:row>
      <xdr:rowOff>127000</xdr:rowOff>
    </xdr:from>
    <xdr:to>
      <xdr:col>14</xdr:col>
      <xdr:colOff>265602</xdr:colOff>
      <xdr:row>32</xdr:row>
      <xdr:rowOff>82549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16299" y="2927350"/>
          <a:ext cx="3294553" cy="1422399"/>
        </a:xfrm>
        <a:prstGeom prst="rect">
          <a:avLst/>
        </a:prstGeom>
      </xdr:spPr>
    </xdr:pic>
    <xdr:clientData/>
  </xdr:twoCellAnchor>
  <xdr:twoCellAnchor>
    <xdr:from>
      <xdr:col>8</xdr:col>
      <xdr:colOff>231775</xdr:colOff>
      <xdr:row>0</xdr:row>
      <xdr:rowOff>114300</xdr:rowOff>
    </xdr:from>
    <xdr:to>
      <xdr:col>15</xdr:col>
      <xdr:colOff>107950</xdr:colOff>
      <xdr:row>19</xdr:row>
      <xdr:rowOff>57150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109538</xdr:colOff>
          <xdr:row>9</xdr:row>
          <xdr:rowOff>119063</xdr:rowOff>
        </xdr:from>
        <xdr:to>
          <xdr:col>7</xdr:col>
          <xdr:colOff>190500</xdr:colOff>
          <xdr:row>12</xdr:row>
          <xdr:rowOff>14288</xdr:rowOff>
        </xdr:to>
        <xdr:sp macro="" textlink="">
          <xdr:nvSpPr>
            <xdr:cNvPr id="1029" name="Drop Dow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2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1</xdr:row>
          <xdr:rowOff>61913</xdr:rowOff>
        </xdr:from>
        <xdr:to>
          <xdr:col>6</xdr:col>
          <xdr:colOff>176213</xdr:colOff>
          <xdr:row>3</xdr:row>
          <xdr:rowOff>90488</xdr:rowOff>
        </xdr:to>
        <xdr:sp macro="" textlink="">
          <xdr:nvSpPr>
            <xdr:cNvPr id="1030" name="Drop Dow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2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23813</xdr:colOff>
          <xdr:row>4</xdr:row>
          <xdr:rowOff>0</xdr:rowOff>
        </xdr:from>
        <xdr:to>
          <xdr:col>8</xdr:col>
          <xdr:colOff>128588</xdr:colOff>
          <xdr:row>5</xdr:row>
          <xdr:rowOff>90488</xdr:rowOff>
        </xdr:to>
        <xdr:sp macro="" textlink="">
          <xdr:nvSpPr>
            <xdr:cNvPr id="1031" name="Scroll Bar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2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15</xdr:col>
      <xdr:colOff>238125</xdr:colOff>
      <xdr:row>0</xdr:row>
      <xdr:rowOff>107950</xdr:rowOff>
    </xdr:from>
    <xdr:to>
      <xdr:col>17</xdr:col>
      <xdr:colOff>381000</xdr:colOff>
      <xdr:row>33</xdr:row>
      <xdr:rowOff>69850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acharias\Documents\_Main\Courses\&#932;&#934;&#916;\mfd%20I%202016\10_HeatPumps\Refrigerant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el"/>
      <sheetName val="fig"/>
      <sheetName val="gr"/>
    </sheetNames>
    <sheetDataSet>
      <sheetData sheetId="0">
        <row r="3">
          <cell r="C3">
            <v>1</v>
          </cell>
        </row>
        <row r="4">
          <cell r="C4">
            <v>35</v>
          </cell>
        </row>
        <row r="5">
          <cell r="C5">
            <v>5</v>
          </cell>
        </row>
        <row r="6">
          <cell r="C6">
            <v>20</v>
          </cell>
        </row>
        <row r="9">
          <cell r="C9">
            <v>40</v>
          </cell>
        </row>
        <row r="11">
          <cell r="C11">
            <v>0</v>
          </cell>
        </row>
        <row r="13">
          <cell r="C13">
            <v>1</v>
          </cell>
        </row>
        <row r="14">
          <cell r="C14">
            <v>4.18</v>
          </cell>
        </row>
        <row r="15">
          <cell r="C15">
            <v>2.4500000000000002</v>
          </cell>
        </row>
        <row r="16">
          <cell r="C16">
            <v>490</v>
          </cell>
        </row>
        <row r="17">
          <cell r="C17">
            <v>2.5000000000000001E-2</v>
          </cell>
        </row>
        <row r="18">
          <cell r="C18">
            <v>0.25</v>
          </cell>
        </row>
        <row r="20">
          <cell r="C20">
            <v>3.5</v>
          </cell>
        </row>
        <row r="21">
          <cell r="C21">
            <v>0.65</v>
          </cell>
        </row>
        <row r="22">
          <cell r="C22">
            <v>3</v>
          </cell>
        </row>
        <row r="23">
          <cell r="C23">
            <v>0.8</v>
          </cell>
        </row>
        <row r="24">
          <cell r="C24">
            <v>0.2</v>
          </cell>
        </row>
        <row r="25">
          <cell r="C25">
            <v>0.08</v>
          </cell>
        </row>
        <row r="26">
          <cell r="C26">
            <v>0.06</v>
          </cell>
        </row>
        <row r="27">
          <cell r="C27">
            <v>5</v>
          </cell>
        </row>
        <row r="28">
          <cell r="C28">
            <v>8000</v>
          </cell>
        </row>
        <row r="32">
          <cell r="C32">
            <v>30</v>
          </cell>
        </row>
        <row r="33">
          <cell r="C33">
            <v>7.8999341672152737E-2</v>
          </cell>
        </row>
        <row r="34">
          <cell r="C34">
            <v>20.555933694790028</v>
          </cell>
        </row>
        <row r="35">
          <cell r="C35">
            <v>36.380716058135413</v>
          </cell>
        </row>
        <row r="36">
          <cell r="C36">
            <v>0.43517602940353373</v>
          </cell>
        </row>
        <row r="37">
          <cell r="C37">
            <v>4.5209219662426774</v>
          </cell>
        </row>
        <row r="38">
          <cell r="C38">
            <v>6.3807160581354134</v>
          </cell>
        </row>
        <row r="40">
          <cell r="C40">
            <v>0.23739640043118937</v>
          </cell>
        </row>
        <row r="50">
          <cell r="C50">
            <v>6.5902722065710186</v>
          </cell>
        </row>
        <row r="53">
          <cell r="C53">
            <v>74.462615007313701</v>
          </cell>
        </row>
      </sheetData>
      <sheetData sheetId="1" refreshError="1"/>
      <sheetData sheetId="2">
        <row r="29">
          <cell r="C29">
            <v>-0.25</v>
          </cell>
        </row>
        <row r="30">
          <cell r="C30">
            <v>5.25</v>
          </cell>
        </row>
        <row r="31">
          <cell r="C31">
            <v>-5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3:R28"/>
  <sheetViews>
    <sheetView showGridLines="0" workbookViewId="0">
      <selection activeCell="R38" sqref="R38"/>
    </sheetView>
  </sheetViews>
  <sheetFormatPr defaultColWidth="9.36328125" defaultRowHeight="10.5" x14ac:dyDescent="0.35"/>
  <cols>
    <col min="1" max="1" width="9.36328125" style="1"/>
    <col min="2" max="2" width="2.6328125" style="1" bestFit="1" customWidth="1"/>
    <col min="3" max="3" width="9.6328125" style="2" bestFit="1" customWidth="1"/>
    <col min="4" max="4" width="26" style="2" bestFit="1" customWidth="1"/>
    <col min="5" max="6" width="13.6328125" style="1" customWidth="1"/>
    <col min="7" max="8" width="9.7265625" style="1" customWidth="1"/>
    <col min="9" max="11" width="13.90625" style="1" customWidth="1"/>
    <col min="12" max="12" width="9" style="1" customWidth="1"/>
    <col min="13" max="18" width="9.54296875" style="1" customWidth="1"/>
    <col min="19" max="23" width="4.90625" style="1" customWidth="1"/>
    <col min="24" max="16384" width="9.36328125" style="1"/>
  </cols>
  <sheetData>
    <row r="3" spans="2:18" x14ac:dyDescent="0.35">
      <c r="C3" s="25"/>
      <c r="D3" s="25"/>
      <c r="E3" s="33"/>
      <c r="F3" s="33"/>
      <c r="G3" s="33"/>
      <c r="H3" s="33"/>
      <c r="I3" s="33"/>
      <c r="J3" s="33"/>
      <c r="K3" s="33"/>
    </row>
    <row r="4" spans="2:18" ht="15.75" x14ac:dyDescent="0.8">
      <c r="C4" s="34"/>
      <c r="D4" s="34"/>
      <c r="E4" s="35" t="s">
        <v>32</v>
      </c>
      <c r="F4" s="35" t="s">
        <v>38</v>
      </c>
      <c r="G4" s="35" t="s">
        <v>37</v>
      </c>
      <c r="H4" s="35" t="s">
        <v>36</v>
      </c>
      <c r="I4" s="36"/>
      <c r="J4" s="36"/>
      <c r="K4" s="36"/>
    </row>
    <row r="5" spans="2:18" ht="15.75" x14ac:dyDescent="0.8">
      <c r="C5" s="37" t="s">
        <v>35</v>
      </c>
      <c r="D5" s="37" t="s">
        <v>34</v>
      </c>
      <c r="E5" s="38" t="s">
        <v>33</v>
      </c>
      <c r="F5" s="38" t="s">
        <v>32</v>
      </c>
      <c r="G5" s="38" t="s">
        <v>31</v>
      </c>
      <c r="H5" s="38" t="s">
        <v>31</v>
      </c>
      <c r="I5" s="39" t="s">
        <v>30</v>
      </c>
      <c r="J5" s="39"/>
      <c r="K5" s="39"/>
    </row>
    <row r="6" spans="2:18" ht="16.149999999999999" x14ac:dyDescent="0.8">
      <c r="C6" s="40"/>
      <c r="D6" s="40"/>
      <c r="E6" s="41" t="s">
        <v>9</v>
      </c>
      <c r="F6" s="41" t="s">
        <v>29</v>
      </c>
      <c r="G6" s="42" t="s">
        <v>28</v>
      </c>
      <c r="H6" s="42" t="s">
        <v>28</v>
      </c>
      <c r="I6" s="41" t="s">
        <v>27</v>
      </c>
      <c r="J6" s="41" t="s">
        <v>26</v>
      </c>
      <c r="K6" s="41" t="s">
        <v>25</v>
      </c>
      <c r="M6" s="52">
        <v>0</v>
      </c>
      <c r="N6" s="52">
        <v>1</v>
      </c>
      <c r="O6" s="52">
        <v>2</v>
      </c>
      <c r="P6" s="52">
        <v>3</v>
      </c>
      <c r="Q6" s="52">
        <v>4</v>
      </c>
      <c r="R6" s="52">
        <v>5</v>
      </c>
    </row>
    <row r="7" spans="2:18" ht="15.75" x14ac:dyDescent="0.8">
      <c r="B7" s="1">
        <v>1</v>
      </c>
      <c r="C7" s="34" t="s">
        <v>24</v>
      </c>
      <c r="D7" s="34" t="s">
        <v>23</v>
      </c>
      <c r="E7" s="43">
        <v>136.06</v>
      </c>
      <c r="F7" s="44">
        <v>0.61</v>
      </c>
      <c r="G7" s="43">
        <v>-82.2</v>
      </c>
      <c r="H7" s="43">
        <v>-45.5</v>
      </c>
      <c r="I7" s="45">
        <v>9.4342000000000006</v>
      </c>
      <c r="J7" s="45">
        <v>1244.5</v>
      </c>
      <c r="K7" s="45">
        <v>260.08999999999997</v>
      </c>
      <c r="M7" s="53">
        <f>$G7+($H7-$G7)*M$6/5</f>
        <v>-82.2</v>
      </c>
      <c r="N7" s="53">
        <f>$G7+($H7-$G7)*N$6/5</f>
        <v>-74.86</v>
      </c>
      <c r="O7" s="53">
        <f>$G7+($H7-$G7)*O$6/5</f>
        <v>-67.52</v>
      </c>
      <c r="P7" s="53">
        <f>$G7+($H7-$G7)*P$6/5</f>
        <v>-60.18</v>
      </c>
      <c r="Q7" s="53">
        <f>$G7+($H7-$G7)*Q$6/5</f>
        <v>-52.84</v>
      </c>
      <c r="R7" s="53">
        <f>$G7+($H7-$G7)*R$6/5</f>
        <v>-45.5</v>
      </c>
    </row>
    <row r="8" spans="2:18" ht="15.75" x14ac:dyDescent="0.8">
      <c r="B8" s="1">
        <v>2</v>
      </c>
      <c r="C8" s="37" t="s">
        <v>22</v>
      </c>
      <c r="D8" s="37" t="s">
        <v>21</v>
      </c>
      <c r="E8" s="46">
        <v>489.42</v>
      </c>
      <c r="F8" s="47">
        <v>2.54</v>
      </c>
      <c r="G8" s="46">
        <v>-67.2</v>
      </c>
      <c r="H8" s="46">
        <v>32.200000000000003</v>
      </c>
      <c r="I8" s="48">
        <v>9.0435999999999996</v>
      </c>
      <c r="J8" s="48">
        <v>1511.4</v>
      </c>
      <c r="K8" s="48">
        <v>255.98999999999998</v>
      </c>
      <c r="M8" s="54">
        <f>$G8+($H8-$G8)*M$6/5</f>
        <v>-67.2</v>
      </c>
      <c r="N8" s="54">
        <f>$G8+($H8-$G8)*N$6/5</f>
        <v>-47.32</v>
      </c>
      <c r="O8" s="54">
        <f>$G8+($H8-$G8)*O$6/5</f>
        <v>-27.439999999999998</v>
      </c>
      <c r="P8" s="54">
        <f>$G8+($H8-$G8)*P$6/5</f>
        <v>-7.5599999999999952</v>
      </c>
      <c r="Q8" s="54">
        <f>$G8+($H8-$G8)*Q$6/5</f>
        <v>12.320000000000007</v>
      </c>
      <c r="R8" s="54">
        <f>$G8+($H8-$G8)*R$6/5</f>
        <v>32.200000000000003</v>
      </c>
    </row>
    <row r="9" spans="2:18" ht="15.75" x14ac:dyDescent="0.8">
      <c r="B9" s="1">
        <v>3</v>
      </c>
      <c r="C9" s="37" t="s">
        <v>13</v>
      </c>
      <c r="D9" s="37" t="s">
        <v>20</v>
      </c>
      <c r="E9" s="46">
        <v>1371.7</v>
      </c>
      <c r="F9" s="47">
        <v>1.2</v>
      </c>
      <c r="G9" s="46">
        <v>-42.2</v>
      </c>
      <c r="H9" s="46">
        <v>132.4</v>
      </c>
      <c r="I9" s="48">
        <v>10.327999999999999</v>
      </c>
      <c r="J9" s="48">
        <v>2132.5</v>
      </c>
      <c r="K9" s="48">
        <v>240.17</v>
      </c>
      <c r="M9" s="54">
        <f>$G9+($H9-$G9)*M$6/5</f>
        <v>-42.2</v>
      </c>
      <c r="N9" s="54">
        <f>$G9+($H9-$G9)*N$6/5</f>
        <v>-7.2800000000000011</v>
      </c>
      <c r="O9" s="54">
        <f>$G9+($H9-$G9)*O$6/5</f>
        <v>27.64</v>
      </c>
      <c r="P9" s="54">
        <f>$G9+($H9-$G9)*P$6/5</f>
        <v>62.560000000000016</v>
      </c>
      <c r="Q9" s="54">
        <f>$G9+($H9-$G9)*Q$6/5</f>
        <v>97.48</v>
      </c>
      <c r="R9" s="54">
        <f>$G9+($H9-$G9)*R$6/5</f>
        <v>132.40000000000003</v>
      </c>
    </row>
    <row r="10" spans="2:18" ht="15.75" x14ac:dyDescent="0.8">
      <c r="B10" s="1">
        <v>4</v>
      </c>
      <c r="C10" s="37" t="s">
        <v>19</v>
      </c>
      <c r="D10" s="37" t="s">
        <v>18</v>
      </c>
      <c r="E10" s="46">
        <v>385.52</v>
      </c>
      <c r="F10" s="47">
        <v>1.67</v>
      </c>
      <c r="G10" s="46">
        <v>-51.7</v>
      </c>
      <c r="H10" s="46">
        <v>152</v>
      </c>
      <c r="I10" s="48">
        <v>9.0580999999999996</v>
      </c>
      <c r="J10" s="48">
        <v>2154.9</v>
      </c>
      <c r="K10" s="48">
        <v>238.72999999999996</v>
      </c>
      <c r="M10" s="55">
        <f>$G10+($H10-$G10)*M$6/5</f>
        <v>-51.7</v>
      </c>
      <c r="N10" s="55">
        <f>$G10+($H10-$G10)*N$6/5</f>
        <v>-10.960000000000008</v>
      </c>
      <c r="O10" s="55">
        <f>$G10+($H10-$G10)*O$6/5</f>
        <v>29.779999999999987</v>
      </c>
      <c r="P10" s="55">
        <f>$G10+($H10-$G10)*P$6/5</f>
        <v>70.519999999999982</v>
      </c>
      <c r="Q10" s="55">
        <f>$G10+($H10-$G10)*Q$6/5</f>
        <v>111.25999999999998</v>
      </c>
      <c r="R10" s="55">
        <f>$G10+($H10-$G10)*R$6/5</f>
        <v>152</v>
      </c>
    </row>
    <row r="11" spans="2:18" ht="15.75" x14ac:dyDescent="0.8">
      <c r="B11" s="1">
        <v>5</v>
      </c>
      <c r="C11" s="40" t="s">
        <v>12</v>
      </c>
      <c r="D11" s="40" t="s">
        <v>17</v>
      </c>
      <c r="E11" s="49">
        <v>180.44</v>
      </c>
      <c r="F11" s="50">
        <v>0.62</v>
      </c>
      <c r="G11" s="49">
        <v>0.6</v>
      </c>
      <c r="H11" s="49">
        <v>198</v>
      </c>
      <c r="I11" s="51">
        <v>9.2315000000000005</v>
      </c>
      <c r="J11" s="51">
        <v>2401.6</v>
      </c>
      <c r="K11" s="51">
        <v>236.84999999999997</v>
      </c>
      <c r="M11" s="56">
        <f>$G11+($H11-$G11)*M$6/5</f>
        <v>0.6</v>
      </c>
      <c r="N11" s="56">
        <f>$G11+($H11-$G11)*N$6/5</f>
        <v>40.080000000000005</v>
      </c>
      <c r="O11" s="56">
        <f>$G11+($H11-$G11)*O$6/5</f>
        <v>79.56</v>
      </c>
      <c r="P11" s="56">
        <f>$G11+($H11-$G11)*P$6/5</f>
        <v>119.04</v>
      </c>
      <c r="Q11" s="56">
        <f>$G11+($H11-$G11)*Q$6/5</f>
        <v>158.52000000000001</v>
      </c>
      <c r="R11" s="56">
        <f>$G11+($H11-$G11)*R$6/5</f>
        <v>198</v>
      </c>
    </row>
    <row r="12" spans="2:18" x14ac:dyDescent="0.35">
      <c r="C12" s="4"/>
      <c r="D12" s="4"/>
      <c r="E12" s="3"/>
      <c r="F12" s="3"/>
      <c r="G12" s="3"/>
      <c r="H12" s="3"/>
      <c r="I12" s="3"/>
      <c r="J12" s="3"/>
      <c r="K12" s="3"/>
      <c r="M12" s="57">
        <f>EXP($I7-$J7/($K7+M7))</f>
        <v>11.453595057783195</v>
      </c>
      <c r="N12" s="57">
        <f>EXP($I7-$J7/($K7+N7))</f>
        <v>15.112555964512007</v>
      </c>
      <c r="O12" s="57">
        <f>EXP($I7-$J7/($K7+O7))</f>
        <v>19.523423815462433</v>
      </c>
      <c r="P12" s="57">
        <f>EXP($I7-$J7/($K7+P7))</f>
        <v>24.751809918878486</v>
      </c>
      <c r="Q12" s="57">
        <f>EXP($I7-$J7/($K7+Q7))</f>
        <v>30.857348085618408</v>
      </c>
      <c r="R12" s="57">
        <f>EXP($I7-$J7/($K7+R7))</f>
        <v>37.893080619960408</v>
      </c>
    </row>
    <row r="13" spans="2:18" x14ac:dyDescent="0.35">
      <c r="C13" s="4"/>
      <c r="D13" s="4"/>
      <c r="E13" s="3"/>
      <c r="F13" s="3"/>
      <c r="G13" s="3"/>
      <c r="H13" s="3"/>
      <c r="I13" s="3"/>
      <c r="J13" s="3"/>
      <c r="K13" s="3"/>
      <c r="M13" s="58">
        <f>EXP($I8-$J8/($K8+M8))</f>
        <v>2.8232236151445362</v>
      </c>
      <c r="N13" s="58">
        <f>EXP($I8-$J8/($K8+N8))</f>
        <v>6.053185804497125</v>
      </c>
      <c r="O13" s="58">
        <f>EXP($I8-$J8/($K8+O8))</f>
        <v>11.365756643437933</v>
      </c>
      <c r="P13" s="58">
        <f>EXP($I8-$J8/($K8+P8))</f>
        <v>19.293990925360841</v>
      </c>
      <c r="Q13" s="58">
        <f>EXP($I8-$J8/($K8+Q8))</f>
        <v>30.282306161942202</v>
      </c>
      <c r="R13" s="58">
        <f>EXP($I8-$J8/($K8+R8))</f>
        <v>44.662901726093146</v>
      </c>
    </row>
    <row r="14" spans="2:18" x14ac:dyDescent="0.35">
      <c r="C14" s="4"/>
      <c r="D14" s="4"/>
      <c r="E14" s="3"/>
      <c r="F14" s="3"/>
      <c r="G14" s="3"/>
      <c r="H14" s="3"/>
      <c r="I14" s="3"/>
      <c r="J14" s="3"/>
      <c r="K14" s="3"/>
      <c r="M14" s="58">
        <f>EXP($I9-$J9/($K9+M9))</f>
        <v>0.64157183832364095</v>
      </c>
      <c r="N14" s="58">
        <f>EXP($I9-$J9/($K9+N9))</f>
        <v>3.2262374666216758</v>
      </c>
      <c r="O14" s="58">
        <f>EXP($I9-$J9/($K9+O9))</f>
        <v>10.646862260799516</v>
      </c>
      <c r="P14" s="58">
        <f>EXP($I9-$J9/($K9+P9))</f>
        <v>26.676130245212509</v>
      </c>
      <c r="Q14" s="58">
        <f>EXP($I9-$J9/($K9+Q9))</f>
        <v>55.27321672696602</v>
      </c>
      <c r="R14" s="58">
        <f>EXP($I9-$J9/($K9+R9))</f>
        <v>99.907363385799428</v>
      </c>
    </row>
    <row r="15" spans="2:18" x14ac:dyDescent="0.35">
      <c r="C15" s="4"/>
      <c r="D15" s="4"/>
      <c r="E15" s="3"/>
      <c r="F15" s="3"/>
      <c r="G15" s="3"/>
      <c r="H15" s="3"/>
      <c r="I15" s="3"/>
      <c r="J15" s="3"/>
      <c r="K15" s="3"/>
      <c r="M15" s="58">
        <f>EXP($I10-$J10/($K10+M10))</f>
        <v>8.5129554374991034E-2</v>
      </c>
      <c r="N15" s="58">
        <f>EXP($I10-$J10/($K10+N10))</f>
        <v>0.66847275472166212</v>
      </c>
      <c r="O15" s="58">
        <f>EXP($I10-$J10/($K10+O10))</f>
        <v>2.808640542387248</v>
      </c>
      <c r="P15" s="58">
        <f>EXP($I10-$J10/($K10+P10))</f>
        <v>8.0845210588062297</v>
      </c>
      <c r="Q15" s="58">
        <f>EXP($I10-$J10/($K10+Q10))</f>
        <v>18.193546474949695</v>
      </c>
      <c r="R15" s="58">
        <f>EXP($I10-$J10/($K10+R10))</f>
        <v>34.571804414809392</v>
      </c>
    </row>
    <row r="16" spans="2:18" x14ac:dyDescent="0.35">
      <c r="C16" s="4"/>
      <c r="D16" s="4"/>
      <c r="E16" s="3"/>
      <c r="F16" s="3"/>
      <c r="G16" s="3"/>
      <c r="H16" s="3"/>
      <c r="I16" s="3"/>
      <c r="J16" s="3"/>
      <c r="K16" s="3"/>
      <c r="M16" s="59">
        <f>EXP($I11-$J11/($K11+M11))</f>
        <v>0.4136937594395973</v>
      </c>
      <c r="N16" s="59">
        <f>EXP($I11-$J11/($K11+N11))</f>
        <v>1.7493991064817693</v>
      </c>
      <c r="O16" s="59">
        <f>EXP($I11-$J11/($K11+O11))</f>
        <v>5.1621232739147116</v>
      </c>
      <c r="P16" s="59">
        <f>EXP($I11-$J11/($K11+P11))</f>
        <v>11.98130455256943</v>
      </c>
      <c r="Q16" s="59">
        <f>EXP($I11-$J11/($K11+Q11))</f>
        <v>23.504452237751611</v>
      </c>
      <c r="R16" s="59">
        <f>EXP($I11-$J11/($K11+R11))</f>
        <v>40.799753417949923</v>
      </c>
    </row>
    <row r="17" spans="3:17" x14ac:dyDescent="0.35">
      <c r="C17" s="4"/>
      <c r="D17" s="4"/>
      <c r="E17" s="3"/>
      <c r="F17" s="3"/>
      <c r="G17" s="3"/>
      <c r="H17" s="3"/>
      <c r="I17" s="3"/>
      <c r="J17" s="3"/>
      <c r="K17" s="3"/>
    </row>
    <row r="18" spans="3:17" x14ac:dyDescent="0.35">
      <c r="C18" s="4"/>
      <c r="D18" s="4"/>
      <c r="E18" s="3"/>
      <c r="F18" s="3"/>
      <c r="G18" s="3"/>
      <c r="H18" s="3"/>
      <c r="I18" s="3"/>
      <c r="J18" s="3"/>
      <c r="K18" s="3"/>
    </row>
    <row r="19" spans="3:17" x14ac:dyDescent="0.35">
      <c r="C19" s="4"/>
      <c r="D19" s="4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</row>
    <row r="20" spans="3:17" x14ac:dyDescent="0.35">
      <c r="C20" s="4"/>
      <c r="D20" s="4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</row>
    <row r="21" spans="3:17" x14ac:dyDescent="0.35">
      <c r="C21" s="4"/>
      <c r="D21" s="4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</row>
    <row r="22" spans="3:17" x14ac:dyDescent="0.35">
      <c r="C22" s="4"/>
      <c r="D22" s="4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</row>
    <row r="23" spans="3:17" x14ac:dyDescent="0.35">
      <c r="C23" s="4"/>
      <c r="D23" s="4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</row>
    <row r="24" spans="3:17" x14ac:dyDescent="0.35">
      <c r="C24" s="4"/>
      <c r="D24" s="4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</row>
    <row r="25" spans="3:17" x14ac:dyDescent="0.35">
      <c r="L25" s="3"/>
      <c r="M25" s="3"/>
      <c r="N25" s="3"/>
      <c r="O25" s="3"/>
      <c r="P25" s="3"/>
      <c r="Q25" s="3"/>
    </row>
    <row r="26" spans="3:17" x14ac:dyDescent="0.35">
      <c r="L26" s="3"/>
      <c r="M26" s="3"/>
      <c r="N26" s="3"/>
      <c r="O26" s="3"/>
      <c r="P26" s="3"/>
      <c r="Q26" s="3"/>
    </row>
    <row r="27" spans="3:17" x14ac:dyDescent="0.35">
      <c r="L27" s="3"/>
      <c r="M27" s="3"/>
      <c r="N27" s="3"/>
      <c r="O27" s="3"/>
      <c r="P27" s="3"/>
      <c r="Q27" s="3"/>
    </row>
    <row r="28" spans="3:17" x14ac:dyDescent="0.35">
      <c r="L28" s="3"/>
      <c r="M28" s="3"/>
      <c r="N28" s="3"/>
      <c r="O28" s="3"/>
      <c r="P28" s="3"/>
      <c r="Q28" s="3"/>
    </row>
  </sheetData>
  <mergeCells count="1">
    <mergeCell ref="I5:K5"/>
  </mergeCell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2:L33"/>
  <sheetViews>
    <sheetView showGridLines="0" workbookViewId="0">
      <selection activeCell="D33" sqref="D33"/>
    </sheetView>
  </sheetViews>
  <sheetFormatPr defaultColWidth="9.36328125" defaultRowHeight="13.15" x14ac:dyDescent="0.4"/>
  <cols>
    <col min="1" max="2" width="8.90625" style="62" customWidth="1"/>
    <col min="3" max="3" width="8.90625" style="60" customWidth="1"/>
    <col min="4" max="4" width="25.6328125" style="61" customWidth="1"/>
    <col min="5" max="8" width="8.90625" style="62" customWidth="1"/>
    <col min="9" max="11" width="15.08984375" style="62" customWidth="1"/>
    <col min="12" max="17" width="8.90625" style="62" customWidth="1"/>
    <col min="18" max="16384" width="9.36328125" style="62"/>
  </cols>
  <sheetData>
    <row r="2" spans="2:12" x14ac:dyDescent="0.4">
      <c r="B2" s="60"/>
    </row>
    <row r="3" spans="2:12" x14ac:dyDescent="0.4">
      <c r="B3" s="63"/>
      <c r="C3" s="64" t="s">
        <v>47</v>
      </c>
      <c r="D3" s="65" t="s">
        <v>52</v>
      </c>
      <c r="E3" s="66" t="s">
        <v>48</v>
      </c>
      <c r="F3" s="67" t="s">
        <v>49</v>
      </c>
      <c r="G3" s="66" t="s">
        <v>50</v>
      </c>
      <c r="H3" s="66" t="s">
        <v>51</v>
      </c>
      <c r="I3" s="68" t="s">
        <v>44</v>
      </c>
      <c r="J3" s="68" t="s">
        <v>45</v>
      </c>
      <c r="K3" s="68" t="s">
        <v>46</v>
      </c>
      <c r="L3" s="68" t="s">
        <v>53</v>
      </c>
    </row>
    <row r="4" spans="2:12" x14ac:dyDescent="0.4">
      <c r="B4" s="63">
        <v>3</v>
      </c>
      <c r="C4" s="69" t="s">
        <v>13</v>
      </c>
      <c r="D4" s="70" t="s">
        <v>20</v>
      </c>
      <c r="E4" s="71">
        <v>1371.7</v>
      </c>
      <c r="F4" s="72">
        <v>1.2</v>
      </c>
      <c r="G4" s="71">
        <v>-42.2</v>
      </c>
      <c r="H4" s="71">
        <v>132.4</v>
      </c>
      <c r="I4" s="73">
        <v>10.327999999999999</v>
      </c>
      <c r="J4" s="73">
        <v>2132.5</v>
      </c>
      <c r="K4" s="73">
        <v>240.17</v>
      </c>
      <c r="L4" s="74">
        <f>300*F4/E4</f>
        <v>0.26244805715535469</v>
      </c>
    </row>
    <row r="5" spans="2:12" x14ac:dyDescent="0.4">
      <c r="B5" s="63">
        <v>5</v>
      </c>
      <c r="C5" s="75" t="s">
        <v>12</v>
      </c>
      <c r="D5" s="76" t="s">
        <v>17</v>
      </c>
      <c r="E5" s="77">
        <v>180.44</v>
      </c>
      <c r="F5" s="78">
        <v>0.62</v>
      </c>
      <c r="G5" s="77">
        <v>0.6</v>
      </c>
      <c r="H5" s="77">
        <v>198</v>
      </c>
      <c r="I5" s="79">
        <v>9.2315000000000005</v>
      </c>
      <c r="J5" s="79">
        <v>2401.6</v>
      </c>
      <c r="K5" s="79">
        <v>236.84999999999997</v>
      </c>
      <c r="L5" s="74">
        <f>300*F5/E5</f>
        <v>1.0308135668366216</v>
      </c>
    </row>
    <row r="6" spans="2:12" x14ac:dyDescent="0.4">
      <c r="B6" s="63">
        <v>4</v>
      </c>
      <c r="C6" s="75" t="s">
        <v>19</v>
      </c>
      <c r="D6" s="76" t="s">
        <v>18</v>
      </c>
      <c r="E6" s="77">
        <v>385.52</v>
      </c>
      <c r="F6" s="78">
        <v>1.67</v>
      </c>
      <c r="G6" s="77">
        <v>-51.7</v>
      </c>
      <c r="H6" s="77">
        <v>152</v>
      </c>
      <c r="I6" s="79">
        <v>9.0580999999999996</v>
      </c>
      <c r="J6" s="79">
        <v>2154.9</v>
      </c>
      <c r="K6" s="79">
        <v>238.72999999999996</v>
      </c>
      <c r="L6" s="74">
        <f>300*F6/E6</f>
        <v>1.2995434737497407</v>
      </c>
    </row>
    <row r="7" spans="2:12" x14ac:dyDescent="0.4">
      <c r="B7" s="63">
        <v>1</v>
      </c>
      <c r="C7" s="75" t="s">
        <v>24</v>
      </c>
      <c r="D7" s="76" t="s">
        <v>23</v>
      </c>
      <c r="E7" s="77">
        <v>136.06</v>
      </c>
      <c r="F7" s="78">
        <v>0.6</v>
      </c>
      <c r="G7" s="77">
        <v>-82.2</v>
      </c>
      <c r="H7" s="77">
        <v>-45.5</v>
      </c>
      <c r="I7" s="79">
        <v>9.4342000000000006</v>
      </c>
      <c r="J7" s="79">
        <v>1244.5</v>
      </c>
      <c r="K7" s="79">
        <v>260.08999999999997</v>
      </c>
      <c r="L7" s="74">
        <f>300*F7/E7</f>
        <v>1.3229457592238718</v>
      </c>
    </row>
    <row r="8" spans="2:12" x14ac:dyDescent="0.4">
      <c r="B8" s="63">
        <v>2</v>
      </c>
      <c r="C8" s="80" t="s">
        <v>22</v>
      </c>
      <c r="D8" s="81" t="s">
        <v>21</v>
      </c>
      <c r="E8" s="82">
        <v>489.42</v>
      </c>
      <c r="F8" s="83">
        <v>2.54</v>
      </c>
      <c r="G8" s="82">
        <v>-67.2</v>
      </c>
      <c r="H8" s="82">
        <v>32.200000000000003</v>
      </c>
      <c r="I8" s="84">
        <v>9.0435999999999996</v>
      </c>
      <c r="J8" s="84">
        <v>1511.4</v>
      </c>
      <c r="K8" s="84">
        <v>255.98999999999998</v>
      </c>
      <c r="L8" s="74">
        <f>300*F8/E8</f>
        <v>1.5569449552531567</v>
      </c>
    </row>
    <row r="9" spans="2:12" x14ac:dyDescent="0.4">
      <c r="B9" s="85"/>
      <c r="C9" s="86"/>
      <c r="D9" s="87"/>
      <c r="E9" s="88"/>
      <c r="F9" s="88"/>
      <c r="G9" s="88"/>
      <c r="H9" s="88"/>
      <c r="I9" s="88"/>
      <c r="J9" s="88"/>
      <c r="K9" s="88"/>
    </row>
    <row r="10" spans="2:12" x14ac:dyDescent="0.4">
      <c r="C10" s="86"/>
      <c r="D10" s="87"/>
      <c r="E10" s="88"/>
      <c r="F10" s="88"/>
      <c r="G10" s="88"/>
      <c r="H10" s="88"/>
      <c r="I10" s="88"/>
      <c r="J10" s="88"/>
      <c r="K10" s="88"/>
    </row>
    <row r="11" spans="2:12" x14ac:dyDescent="0.4">
      <c r="C11" s="86"/>
      <c r="D11" s="65" t="s">
        <v>60</v>
      </c>
      <c r="E11" s="66" t="s">
        <v>55</v>
      </c>
      <c r="F11" s="67" t="s">
        <v>56</v>
      </c>
      <c r="G11" s="67" t="s">
        <v>89</v>
      </c>
      <c r="H11" s="67" t="s">
        <v>90</v>
      </c>
      <c r="I11" s="67" t="s">
        <v>63</v>
      </c>
      <c r="K11" s="88"/>
    </row>
    <row r="12" spans="2:12" x14ac:dyDescent="0.4">
      <c r="C12" s="63">
        <v>3</v>
      </c>
      <c r="D12" s="70" t="s">
        <v>39</v>
      </c>
      <c r="E12" s="71">
        <v>40</v>
      </c>
      <c r="F12" s="71">
        <v>25</v>
      </c>
      <c r="G12" s="71">
        <v>0</v>
      </c>
      <c r="H12" s="71">
        <v>3000</v>
      </c>
      <c r="I12" s="89">
        <f>E12-F12</f>
        <v>15</v>
      </c>
      <c r="K12" s="88"/>
    </row>
    <row r="13" spans="2:12" x14ac:dyDescent="0.4">
      <c r="C13" s="63">
        <v>2</v>
      </c>
      <c r="D13" s="76" t="s">
        <v>40</v>
      </c>
      <c r="E13" s="77">
        <v>25</v>
      </c>
      <c r="F13" s="77">
        <v>0</v>
      </c>
      <c r="G13" s="77">
        <v>1</v>
      </c>
      <c r="H13" s="77">
        <v>4000</v>
      </c>
      <c r="I13" s="89">
        <f>E13-F13</f>
        <v>25</v>
      </c>
      <c r="K13" s="88"/>
    </row>
    <row r="14" spans="2:12" x14ac:dyDescent="0.4">
      <c r="C14" s="63">
        <v>4</v>
      </c>
      <c r="D14" s="76" t="s">
        <v>58</v>
      </c>
      <c r="E14" s="77">
        <v>25</v>
      </c>
      <c r="F14" s="77">
        <v>-10</v>
      </c>
      <c r="G14" s="77">
        <v>0</v>
      </c>
      <c r="H14" s="77">
        <v>8000</v>
      </c>
      <c r="I14" s="89">
        <f>E14-F14</f>
        <v>35</v>
      </c>
      <c r="K14" s="88"/>
    </row>
    <row r="15" spans="2:12" x14ac:dyDescent="0.4">
      <c r="C15" s="63">
        <v>5</v>
      </c>
      <c r="D15" s="76" t="s">
        <v>57</v>
      </c>
      <c r="E15" s="77">
        <v>25</v>
      </c>
      <c r="F15" s="77">
        <v>-20</v>
      </c>
      <c r="G15" s="77">
        <v>0</v>
      </c>
      <c r="H15" s="77">
        <v>8000</v>
      </c>
      <c r="I15" s="89">
        <f>E15-F15</f>
        <v>45</v>
      </c>
      <c r="K15" s="88"/>
    </row>
    <row r="16" spans="2:12" x14ac:dyDescent="0.4">
      <c r="C16" s="63">
        <v>1</v>
      </c>
      <c r="D16" s="81" t="s">
        <v>59</v>
      </c>
      <c r="E16" s="82">
        <v>60</v>
      </c>
      <c r="F16" s="82">
        <v>0</v>
      </c>
      <c r="G16" s="82">
        <v>1</v>
      </c>
      <c r="H16" s="82">
        <v>4000</v>
      </c>
      <c r="I16" s="89">
        <f>E16-F16</f>
        <v>60</v>
      </c>
      <c r="K16" s="88"/>
    </row>
    <row r="17" spans="3:11" x14ac:dyDescent="0.4">
      <c r="C17" s="86"/>
      <c r="D17" s="87"/>
      <c r="E17" s="88"/>
      <c r="F17" s="88"/>
      <c r="G17" s="88"/>
      <c r="H17" s="88"/>
      <c r="I17" s="88"/>
      <c r="J17" s="88"/>
      <c r="K17" s="88"/>
    </row>
    <row r="20" spans="3:11" x14ac:dyDescent="0.4">
      <c r="C20" s="62"/>
      <c r="D20" s="62"/>
    </row>
    <row r="21" spans="3:11" x14ac:dyDescent="0.4">
      <c r="C21" s="62"/>
      <c r="D21" s="62"/>
    </row>
    <row r="22" spans="3:11" x14ac:dyDescent="0.4">
      <c r="C22" s="62"/>
      <c r="D22" s="62"/>
    </row>
    <row r="23" spans="3:11" x14ac:dyDescent="0.4">
      <c r="C23" s="62"/>
      <c r="D23" s="62"/>
    </row>
    <row r="24" spans="3:11" x14ac:dyDescent="0.4">
      <c r="C24" s="62"/>
      <c r="D24" s="62"/>
    </row>
    <row r="25" spans="3:11" x14ac:dyDescent="0.4">
      <c r="C25" s="62"/>
      <c r="D25" s="62"/>
    </row>
    <row r="26" spans="3:11" x14ac:dyDescent="0.4">
      <c r="C26" s="62"/>
      <c r="D26" s="62"/>
    </row>
    <row r="27" spans="3:11" x14ac:dyDescent="0.4">
      <c r="C27" s="62"/>
      <c r="D27" s="62"/>
    </row>
    <row r="28" spans="3:11" x14ac:dyDescent="0.4">
      <c r="C28" s="62"/>
      <c r="D28" s="62"/>
    </row>
    <row r="29" spans="3:11" x14ac:dyDescent="0.4">
      <c r="C29" s="62"/>
      <c r="D29" s="62"/>
    </row>
    <row r="30" spans="3:11" x14ac:dyDescent="0.4">
      <c r="C30" s="62"/>
      <c r="D30" s="62"/>
    </row>
    <row r="31" spans="3:11" x14ac:dyDescent="0.4">
      <c r="C31" s="62"/>
      <c r="D31" s="62"/>
    </row>
    <row r="32" spans="3:11" x14ac:dyDescent="0.4">
      <c r="C32" s="62"/>
      <c r="D32" s="62"/>
    </row>
    <row r="33" spans="3:4" x14ac:dyDescent="0.4">
      <c r="C33" s="62"/>
      <c r="D33" s="62"/>
    </row>
  </sheetData>
  <sortState xmlns:xlrd2="http://schemas.microsoft.com/office/spreadsheetml/2017/richdata2" ref="C18:G22">
    <sortCondition ref="G18:G22"/>
  </sortState>
  <pageMargins left="0.75" right="0.75" top="1" bottom="1" header="0.5" footer="0.5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2:W33"/>
  <sheetViews>
    <sheetView showGridLines="0" tabSelected="1" zoomScale="110" zoomScaleNormal="110" workbookViewId="0">
      <selection activeCell="W18" sqref="W18"/>
    </sheetView>
  </sheetViews>
  <sheetFormatPr defaultColWidth="9" defaultRowHeight="10.5" x14ac:dyDescent="0.35"/>
  <cols>
    <col min="1" max="1" width="8" style="6" customWidth="1"/>
    <col min="2" max="2" width="9" style="8"/>
    <col min="3" max="8" width="9" style="6"/>
    <col min="9" max="9" width="9.90625" style="6" bestFit="1" customWidth="1"/>
    <col min="10" max="16384" width="9" style="6"/>
  </cols>
  <sheetData>
    <row r="2" spans="2:23" x14ac:dyDescent="0.35">
      <c r="B2" s="5" t="s">
        <v>80</v>
      </c>
      <c r="C2" s="28" t="s">
        <v>39</v>
      </c>
      <c r="F2" s="7"/>
    </row>
    <row r="3" spans="2:23" x14ac:dyDescent="0.35">
      <c r="B3" s="8" t="s">
        <v>42</v>
      </c>
      <c r="C3" s="9">
        <f>INDEX(TH.,jLoad)</f>
        <v>25</v>
      </c>
      <c r="J3" s="19"/>
      <c r="K3" s="20" t="s">
        <v>15</v>
      </c>
      <c r="L3" s="20" t="s">
        <v>16</v>
      </c>
      <c r="M3" s="20" t="s">
        <v>79</v>
      </c>
    </row>
    <row r="4" spans="2:23" x14ac:dyDescent="0.35">
      <c r="B4" s="8" t="s">
        <v>43</v>
      </c>
      <c r="C4" s="9">
        <f>INDEX(TL.,jLoad)</f>
        <v>-20</v>
      </c>
      <c r="J4" s="21">
        <v>0</v>
      </c>
      <c r="K4" s="22">
        <f>TL</f>
        <v>-20</v>
      </c>
      <c r="L4" s="22">
        <f>Te</f>
        <v>-30</v>
      </c>
      <c r="M4" s="26">
        <f>Tt_</f>
        <v>-42.2</v>
      </c>
    </row>
    <row r="5" spans="2:23" x14ac:dyDescent="0.35">
      <c r="B5" s="6"/>
      <c r="F5" s="7"/>
      <c r="J5" s="21">
        <f>Qe</f>
        <v>352.5878612165701</v>
      </c>
      <c r="K5" s="22">
        <f>TL</f>
        <v>-20</v>
      </c>
      <c r="L5" s="22">
        <f>Te</f>
        <v>-30</v>
      </c>
      <c r="M5" s="22">
        <f>Tt_</f>
        <v>-42.2</v>
      </c>
    </row>
    <row r="6" spans="2:23" x14ac:dyDescent="0.35">
      <c r="B6" s="8" t="s">
        <v>41</v>
      </c>
      <c r="C6" s="17">
        <v>10</v>
      </c>
      <c r="D6" s="6" t="s">
        <v>88</v>
      </c>
      <c r="F6" s="7"/>
      <c r="J6" s="21">
        <f>Qe+Wr</f>
        <v>452.5878612165701</v>
      </c>
      <c r="K6" s="22">
        <f>TH</f>
        <v>25</v>
      </c>
      <c r="L6" s="22">
        <f>Tc</f>
        <v>35</v>
      </c>
      <c r="M6" s="22">
        <f>Tc_</f>
        <v>132.4</v>
      </c>
      <c r="V6" s="32"/>
    </row>
    <row r="7" spans="2:23" x14ac:dyDescent="0.35">
      <c r="B7" s="8" t="s">
        <v>0</v>
      </c>
      <c r="C7" s="10">
        <f>TH+dTmin</f>
        <v>35</v>
      </c>
      <c r="D7" s="27">
        <f>INDEX(Tc.,jRefr)</f>
        <v>132.4</v>
      </c>
      <c r="E7" s="8" t="s">
        <v>61</v>
      </c>
      <c r="F7" s="24">
        <v>1</v>
      </c>
      <c r="J7" s="21">
        <f>Qe+Wr+Qc</f>
        <v>905.17572243314021</v>
      </c>
      <c r="K7" s="22">
        <f>TH</f>
        <v>25</v>
      </c>
      <c r="L7" s="22">
        <f>Tc</f>
        <v>35</v>
      </c>
      <c r="M7" s="22">
        <f>Tc_</f>
        <v>132.4</v>
      </c>
      <c r="V7" s="32"/>
      <c r="W7" s="32"/>
    </row>
    <row r="8" spans="2:23" x14ac:dyDescent="0.35">
      <c r="B8" s="8" t="s">
        <v>1</v>
      </c>
      <c r="C8" s="10">
        <f>TL-dTmin</f>
        <v>-30</v>
      </c>
      <c r="D8" s="27">
        <f>INDEX(Tt.,jRefr)</f>
        <v>-42.2</v>
      </c>
      <c r="E8" s="8" t="s">
        <v>62</v>
      </c>
      <c r="F8" s="24">
        <v>4</v>
      </c>
      <c r="V8" s="32"/>
    </row>
    <row r="9" spans="2:23" x14ac:dyDescent="0.35">
      <c r="B9" s="6"/>
      <c r="F9" s="7"/>
      <c r="V9" s="32"/>
    </row>
    <row r="10" spans="2:23" x14ac:dyDescent="0.35">
      <c r="B10" s="28" t="str">
        <f>INDEX(R.,jRefr)</f>
        <v>R-717</v>
      </c>
      <c r="C10" s="28" t="str">
        <f>INDEX(Refrigerant.,jRefr)</f>
        <v>Ammonia</v>
      </c>
      <c r="F10" s="7"/>
      <c r="V10" s="32"/>
    </row>
    <row r="11" spans="2:23" x14ac:dyDescent="0.35">
      <c r="B11" s="8" t="s">
        <v>2</v>
      </c>
      <c r="C11" s="11">
        <f>INDEX(dHr.,jRefr)/1000</f>
        <v>1.3717000000000001</v>
      </c>
      <c r="D11" s="6" t="s">
        <v>8</v>
      </c>
      <c r="F11" s="7"/>
      <c r="V11" s="32"/>
    </row>
    <row r="12" spans="2:23" x14ac:dyDescent="0.35">
      <c r="B12" s="8" t="s">
        <v>3</v>
      </c>
      <c r="C12" s="11">
        <f>INDEX(Cpr.,jRefr)</f>
        <v>1.2</v>
      </c>
      <c r="D12" s="6" t="s">
        <v>9</v>
      </c>
    </row>
    <row r="13" spans="2:23" x14ac:dyDescent="0.35">
      <c r="B13" s="8" t="s">
        <v>4</v>
      </c>
      <c r="C13" s="12">
        <f>Wr/(dHr*1000*(Tc-Te))*(Te+273)</f>
        <v>0.27254221319979138</v>
      </c>
      <c r="D13" s="6" t="s">
        <v>10</v>
      </c>
    </row>
    <row r="15" spans="2:23" x14ac:dyDescent="0.35">
      <c r="B15" s="8" t="s">
        <v>7</v>
      </c>
      <c r="C15" s="13">
        <v>100</v>
      </c>
      <c r="D15" s="6" t="s">
        <v>11</v>
      </c>
    </row>
    <row r="16" spans="2:23" x14ac:dyDescent="0.35">
      <c r="B16" s="8" t="s">
        <v>5</v>
      </c>
      <c r="C16" s="14">
        <f>Fr*(dHr*1000-Cpr*(Tc-Te))</f>
        <v>352.5878612165701</v>
      </c>
    </row>
    <row r="17" spans="2:7" x14ac:dyDescent="0.35">
      <c r="B17" s="8" t="s">
        <v>6</v>
      </c>
      <c r="C17" s="14">
        <f>Qe+Wr</f>
        <v>452.5878612165701</v>
      </c>
    </row>
    <row r="19" spans="2:7" x14ac:dyDescent="0.35">
      <c r="B19" s="8" t="s">
        <v>54</v>
      </c>
      <c r="C19" s="12">
        <f>(273+Te)/(Tc-Te)</f>
        <v>3.7384615384615385</v>
      </c>
    </row>
    <row r="20" spans="2:7" x14ac:dyDescent="0.35">
      <c r="B20" s="8" t="s">
        <v>53</v>
      </c>
      <c r="C20" s="12">
        <f>(273+Te)*Cpr/dHr/1000</f>
        <v>0.21258292629583725</v>
      </c>
    </row>
    <row r="21" spans="2:7" x14ac:dyDescent="0.35">
      <c r="B21" s="15" t="s">
        <v>14</v>
      </c>
      <c r="C21" s="16">
        <f>COPc-IP+INDEX(h.,jLoad)</f>
        <v>3.5258786121657013</v>
      </c>
    </row>
    <row r="23" spans="2:7" x14ac:dyDescent="0.35">
      <c r="B23" s="8" t="s">
        <v>64</v>
      </c>
      <c r="C23" s="18">
        <v>0.1</v>
      </c>
      <c r="D23" s="6" t="s">
        <v>82</v>
      </c>
      <c r="E23" s="8" t="s">
        <v>66</v>
      </c>
      <c r="F23" s="12">
        <f>Qe/Ue/dTmin/1000</f>
        <v>0.3525878612165701</v>
      </c>
      <c r="G23" s="6" t="s">
        <v>81</v>
      </c>
    </row>
    <row r="24" spans="2:7" x14ac:dyDescent="0.35">
      <c r="B24" s="8" t="s">
        <v>65</v>
      </c>
      <c r="C24" s="18">
        <v>0.1</v>
      </c>
      <c r="D24" s="6" t="s">
        <v>82</v>
      </c>
      <c r="E24" s="8" t="s">
        <v>67</v>
      </c>
      <c r="F24" s="12">
        <f>Qc/Uc/dTmin/1000</f>
        <v>0.45258786121657002</v>
      </c>
      <c r="G24" s="6" t="s">
        <v>81</v>
      </c>
    </row>
    <row r="25" spans="2:7" x14ac:dyDescent="0.35">
      <c r="B25" s="6"/>
    </row>
    <row r="26" spans="2:7" x14ac:dyDescent="0.35">
      <c r="B26" s="8" t="s">
        <v>70</v>
      </c>
      <c r="C26" s="30">
        <v>120</v>
      </c>
      <c r="D26" s="6" t="s">
        <v>83</v>
      </c>
      <c r="E26" s="8" t="s">
        <v>78</v>
      </c>
      <c r="F26" s="10">
        <f>Wr*ty*Ce/1000000</f>
        <v>96</v>
      </c>
    </row>
    <row r="27" spans="2:7" x14ac:dyDescent="0.35">
      <c r="B27" s="8" t="s">
        <v>71</v>
      </c>
      <c r="C27" s="23">
        <v>1</v>
      </c>
      <c r="D27" s="6" t="s">
        <v>84</v>
      </c>
      <c r="E27" s="8" t="s">
        <v>68</v>
      </c>
      <c r="F27" s="10">
        <f>Ceq1com*Wr^ncom+Ceq1exc*Ae^nexc+Ceq1exc*Ac^nexc</f>
        <v>32.708058293852559</v>
      </c>
    </row>
    <row r="28" spans="2:7" x14ac:dyDescent="0.35">
      <c r="B28" s="8" t="s">
        <v>72</v>
      </c>
      <c r="C28" s="23">
        <v>0.75</v>
      </c>
      <c r="D28" s="6" t="s">
        <v>85</v>
      </c>
      <c r="E28" s="8" t="s">
        <v>69</v>
      </c>
      <c r="F28" s="29">
        <f>Coper+e*Ceq</f>
        <v>104.17701457346314</v>
      </c>
      <c r="G28" s="6" t="s">
        <v>77</v>
      </c>
    </row>
    <row r="29" spans="2:7" x14ac:dyDescent="0.35">
      <c r="B29" s="8" t="s">
        <v>73</v>
      </c>
      <c r="C29" s="23">
        <v>1</v>
      </c>
      <c r="D29" s="6" t="s">
        <v>86</v>
      </c>
      <c r="E29" s="8"/>
      <c r="F29" s="7"/>
      <c r="G29" s="7"/>
    </row>
    <row r="30" spans="2:7" x14ac:dyDescent="0.35">
      <c r="B30" s="8" t="s">
        <v>74</v>
      </c>
      <c r="C30" s="23">
        <v>0.67</v>
      </c>
      <c r="D30" s="6" t="s">
        <v>85</v>
      </c>
      <c r="E30" s="8" t="s">
        <v>91</v>
      </c>
      <c r="F30" s="10" cm="1">
        <f t="array" ref="F30">Coper/IF(INDEX(h.,jLoad)=1,Qc,Qe)/ty*1000000</f>
        <v>34.03407014238995</v>
      </c>
      <c r="G30" s="7"/>
    </row>
    <row r="31" spans="2:7" x14ac:dyDescent="0.35">
      <c r="B31" s="6"/>
      <c r="E31" s="8" t="s">
        <v>92</v>
      </c>
      <c r="F31" s="10" cm="1">
        <f t="array" ref="F31">Ceq/IF(INDEX(h.,jLoad)=1,Qc,Qe)/ty*1000000</f>
        <v>11.595711981191222</v>
      </c>
      <c r="G31" s="7"/>
    </row>
    <row r="32" spans="2:7" x14ac:dyDescent="0.35">
      <c r="B32" s="8" t="s">
        <v>75</v>
      </c>
      <c r="C32" s="23">
        <v>0.25</v>
      </c>
      <c r="D32" s="6" t="s">
        <v>85</v>
      </c>
      <c r="E32" s="8" t="s">
        <v>93</v>
      </c>
      <c r="F32" s="29">
        <f>Coper.+e*Ceq.</f>
        <v>36.932998137687754</v>
      </c>
      <c r="G32" s="6" t="s">
        <v>83</v>
      </c>
    </row>
    <row r="33" spans="2:4" x14ac:dyDescent="0.35">
      <c r="B33" s="8" t="s">
        <v>76</v>
      </c>
      <c r="C33" s="31">
        <f>INDEX(ty.,jLoad)</f>
        <v>8000</v>
      </c>
      <c r="D33" s="6" t="s">
        <v>87</v>
      </c>
    </row>
  </sheetData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r:id="rId3" name="Drop Down 5">
              <controlPr defaultSize="0" autoLine="0" autoPict="0">
                <anchor moveWithCells="1">
                  <from>
                    <xdr:col>4</xdr:col>
                    <xdr:colOff>109538</xdr:colOff>
                    <xdr:row>9</xdr:row>
                    <xdr:rowOff>119063</xdr:rowOff>
                  </from>
                  <to>
                    <xdr:col>7</xdr:col>
                    <xdr:colOff>190500</xdr:colOff>
                    <xdr:row>12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4" name="Drop Down 6">
              <controlPr defaultSize="0" autoLine="0" autoPict="0">
                <anchor moveWithCells="1">
                  <from>
                    <xdr:col>3</xdr:col>
                    <xdr:colOff>95250</xdr:colOff>
                    <xdr:row>1</xdr:row>
                    <xdr:rowOff>61913</xdr:rowOff>
                  </from>
                  <to>
                    <xdr:col>6</xdr:col>
                    <xdr:colOff>176213</xdr:colOff>
                    <xdr:row>3</xdr:row>
                    <xdr:rowOff>90488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5" name="Scroll Bar 7">
              <controlPr defaultSize="0" autoPict="0">
                <anchor moveWithCells="1">
                  <from>
                    <xdr:col>6</xdr:col>
                    <xdr:colOff>23813</xdr:colOff>
                    <xdr:row>4</xdr:row>
                    <xdr:rowOff>0</xdr:rowOff>
                  </from>
                  <to>
                    <xdr:col>8</xdr:col>
                    <xdr:colOff>128588</xdr:colOff>
                    <xdr:row>5</xdr:row>
                    <xdr:rowOff>90488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49</vt:i4>
      </vt:variant>
    </vt:vector>
  </HeadingPairs>
  <TitlesOfParts>
    <vt:vector size="52" baseType="lpstr">
      <vt:lpstr>Antoine</vt:lpstr>
      <vt:lpstr>db</vt:lpstr>
      <vt:lpstr>m</vt:lpstr>
      <vt:lpstr>a1.</vt:lpstr>
      <vt:lpstr>a2.</vt:lpstr>
      <vt:lpstr>a3.</vt:lpstr>
      <vt:lpstr>Ac</vt:lpstr>
      <vt:lpstr>Ae</vt:lpstr>
      <vt:lpstr>Ce</vt:lpstr>
      <vt:lpstr>Ceq</vt:lpstr>
      <vt:lpstr>Ceq.</vt:lpstr>
      <vt:lpstr>Ceq1com</vt:lpstr>
      <vt:lpstr>Ceq1exc</vt:lpstr>
      <vt:lpstr>COP</vt:lpstr>
      <vt:lpstr>COPc</vt:lpstr>
      <vt:lpstr>Coper</vt:lpstr>
      <vt:lpstr>Coper.</vt:lpstr>
      <vt:lpstr>Cpr</vt:lpstr>
      <vt:lpstr>Cpr.</vt:lpstr>
      <vt:lpstr>CTL</vt:lpstr>
      <vt:lpstr>CTL.</vt:lpstr>
      <vt:lpstr>dHr</vt:lpstr>
      <vt:lpstr>dHr.</vt:lpstr>
      <vt:lpstr>dTmin</vt:lpstr>
      <vt:lpstr>e</vt:lpstr>
      <vt:lpstr>Fr</vt:lpstr>
      <vt:lpstr>h.</vt:lpstr>
      <vt:lpstr>IP</vt:lpstr>
      <vt:lpstr>jLoad</vt:lpstr>
      <vt:lpstr>jRefr</vt:lpstr>
      <vt:lpstr>Load.</vt:lpstr>
      <vt:lpstr>ncom</vt:lpstr>
      <vt:lpstr>nexc</vt:lpstr>
      <vt:lpstr>Qc</vt:lpstr>
      <vt:lpstr>Qe</vt:lpstr>
      <vt:lpstr>R.</vt:lpstr>
      <vt:lpstr>Refrigerant.</vt:lpstr>
      <vt:lpstr>Tc</vt:lpstr>
      <vt:lpstr>Tc.</vt:lpstr>
      <vt:lpstr>Tc_</vt:lpstr>
      <vt:lpstr>Te</vt:lpstr>
      <vt:lpstr>TH</vt:lpstr>
      <vt:lpstr>TH.</vt:lpstr>
      <vt:lpstr>TL</vt:lpstr>
      <vt:lpstr>TL.</vt:lpstr>
      <vt:lpstr>Tt.</vt:lpstr>
      <vt:lpstr>Tt_</vt:lpstr>
      <vt:lpstr>ty</vt:lpstr>
      <vt:lpstr>ty.</vt:lpstr>
      <vt:lpstr>Uc</vt:lpstr>
      <vt:lpstr>Ue</vt:lpstr>
      <vt:lpstr>Wr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Zacharias Maroulis</dc:creator>
  <cp:lastModifiedBy>Maroulis</cp:lastModifiedBy>
  <dcterms:created xsi:type="dcterms:W3CDTF">2016-10-30T04:10:05Z</dcterms:created>
  <dcterms:modified xsi:type="dcterms:W3CDTF">2020-12-01T18:06:10Z</dcterms:modified>
</cp:coreProperties>
</file>